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isonbramall/Documents/Documents – Alison’s MacBook Air (2)/Easton PC/Accounts /Accounts 20_21/Auditors folder/"/>
    </mc:Choice>
  </mc:AlternateContent>
  <xr:revisionPtr revIDLastSave="0" documentId="8_{CDAC555B-3FCA-D445-87F5-76E694BA6A2B}" xr6:coauthVersionLast="47" xr6:coauthVersionMax="47" xr10:uidLastSave="{00000000-0000-0000-0000-000000000000}"/>
  <bookViews>
    <workbookView xWindow="5340" yWindow="500" windowWidth="20440" windowHeight="16360" activeTab="4" xr2:uid="{5B8B0C17-1903-9D41-8D0D-885F855439EC}"/>
  </bookViews>
  <sheets>
    <sheet name="Income and expenditure " sheetId="1" state="hidden" r:id="rId1"/>
    <sheet name="Financial Statement 31 3 21" sheetId="5" r:id="rId2"/>
    <sheet name="AGAR explanations 20_21" sheetId="10" r:id="rId3"/>
    <sheet name="AGAR Form copy" sheetId="6" r:id="rId4"/>
    <sheet name="Bank reconciliation " sheetId="9" r:id="rId5"/>
    <sheet name="VAT Refund" sheetId="8" r:id="rId6"/>
    <sheet name="Assets register" sheetId="7" state="hidden" r:id="rId7"/>
  </sheets>
  <definedNames>
    <definedName name="_xlnm._FilterDatabase" localSheetId="0" hidden="1">'Income and expenditure '!$J$1:$J$191</definedName>
    <definedName name="_xlnm._FilterDatabase" localSheetId="5" hidden="1">'VAT Refund'!$E$3:$E$153</definedName>
    <definedName name="_xlnm.Print_Area" localSheetId="1">'Financial Statement 31 3 21'!$A$1:$E$87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6" l="1"/>
  <c r="D5" i="6"/>
  <c r="B115" i="10"/>
  <c r="B118" i="10"/>
  <c r="E87" i="10"/>
  <c r="E25" i="10"/>
  <c r="E27" i="10" s="1"/>
  <c r="E15" i="10"/>
  <c r="C75" i="5"/>
  <c r="D8" i="7"/>
  <c r="D12" i="7" s="1"/>
  <c r="AC50" i="1"/>
  <c r="Q90" i="1"/>
  <c r="B33" i="5"/>
  <c r="B42" i="5"/>
  <c r="C42" i="5"/>
  <c r="D42" i="5"/>
  <c r="A43" i="5"/>
  <c r="A44" i="5"/>
  <c r="B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A61" i="5"/>
  <c r="B61" i="5"/>
  <c r="C61" i="5"/>
  <c r="A62" i="5"/>
  <c r="A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5" i="5"/>
  <c r="B86" i="5"/>
  <c r="D26" i="5"/>
  <c r="E29" i="10"/>
  <c r="E30" i="10"/>
  <c r="E31" i="10"/>
  <c r="E32" i="10"/>
  <c r="E33" i="10"/>
  <c r="E34" i="10"/>
  <c r="E35" i="10"/>
  <c r="E36" i="10"/>
  <c r="E37" i="10"/>
  <c r="E38" i="10"/>
  <c r="E39" i="10"/>
  <c r="E24" i="10"/>
  <c r="E6" i="10"/>
  <c r="B114" i="10" s="1"/>
  <c r="E21" i="10"/>
  <c r="E26" i="10" s="1"/>
  <c r="O132" i="10"/>
  <c r="AO128" i="10"/>
  <c r="D99" i="10"/>
  <c r="E105" i="10"/>
  <c r="D104" i="10"/>
  <c r="D101" i="10"/>
  <c r="D100" i="10"/>
  <c r="AE93" i="10"/>
  <c r="AE91" i="10"/>
  <c r="AB90" i="10"/>
  <c r="AA90" i="10"/>
  <c r="Z90" i="10"/>
  <c r="Y90" i="10"/>
  <c r="Y92" i="10" s="1"/>
  <c r="S90" i="10"/>
  <c r="S92" i="10" s="1"/>
  <c r="AE89" i="10"/>
  <c r="AC92" i="10"/>
  <c r="R92" i="10"/>
  <c r="E53" i="10"/>
  <c r="P90" i="10"/>
  <c r="E50" i="10"/>
  <c r="E106" i="1"/>
  <c r="E105" i="1"/>
  <c r="E104" i="1"/>
  <c r="F18" i="9"/>
  <c r="F17" i="9"/>
  <c r="G32" i="9"/>
  <c r="F26" i="9"/>
  <c r="G37" i="9"/>
  <c r="G34" i="9"/>
  <c r="D9" i="6" l="1"/>
  <c r="E45" i="10"/>
  <c r="B116" i="10" s="1"/>
  <c r="AA92" i="10"/>
  <c r="M92" i="10"/>
  <c r="AE90" i="10"/>
  <c r="O92" i="10"/>
  <c r="Z92" i="10"/>
  <c r="Q92" i="10"/>
  <c r="N92" i="10"/>
  <c r="T92" i="10"/>
  <c r="AB92" i="10"/>
  <c r="O133" i="10"/>
  <c r="U92" i="10"/>
  <c r="I92" i="10"/>
  <c r="H92" i="10"/>
  <c r="X92" i="10"/>
  <c r="G20" i="9"/>
  <c r="G39" i="9" s="1"/>
  <c r="B119" i="10" l="1"/>
  <c r="B120" i="10" s="1"/>
  <c r="K92" i="10"/>
  <c r="C42" i="8"/>
  <c r="E42" i="8"/>
  <c r="C19" i="8"/>
  <c r="D19" i="8" s="1"/>
  <c r="C31" i="8"/>
  <c r="D31" i="8" s="1"/>
  <c r="C30" i="8"/>
  <c r="D30" i="8" s="1"/>
  <c r="E3" i="8"/>
  <c r="C27" i="8"/>
  <c r="D27" i="8" s="1"/>
  <c r="C25" i="8"/>
  <c r="D25" i="8" s="1"/>
  <c r="J13" i="1"/>
  <c r="H7" i="1"/>
  <c r="I7" i="1" s="1"/>
  <c r="H5" i="1"/>
  <c r="I5" i="1" s="1"/>
  <c r="D33" i="6"/>
  <c r="D26" i="6"/>
  <c r="F86" i="1"/>
  <c r="E99" i="1"/>
  <c r="E107" i="1" s="1"/>
  <c r="E108" i="1" s="1"/>
  <c r="H29" i="1"/>
  <c r="I29" i="1" s="1"/>
  <c r="H17" i="1"/>
  <c r="I17" i="1" s="1"/>
  <c r="H16" i="1"/>
  <c r="I16" i="1" s="1"/>
  <c r="H15" i="1"/>
  <c r="I15" i="1" s="1"/>
  <c r="J53" i="1"/>
  <c r="M53" i="1" s="1"/>
  <c r="M55" i="1" s="1"/>
  <c r="E11" i="5"/>
  <c r="AC52" i="1"/>
  <c r="AC51" i="1"/>
  <c r="L49" i="1"/>
  <c r="L48" i="1"/>
  <c r="E92" i="1"/>
  <c r="AC44" i="1"/>
  <c r="AC43" i="1"/>
  <c r="AO97" i="1"/>
  <c r="AL46" i="1"/>
  <c r="AN46" i="1" s="1"/>
  <c r="D113" i="1"/>
  <c r="D112" i="1"/>
  <c r="D111" i="1"/>
  <c r="AI55" i="1"/>
  <c r="X45" i="1"/>
  <c r="B35" i="5" l="1"/>
  <c r="B36" i="5" s="1"/>
  <c r="Q91" i="1"/>
  <c r="Q92" i="1" s="1"/>
  <c r="J92" i="10"/>
  <c r="O134" i="10"/>
  <c r="O136" i="10"/>
  <c r="J55" i="1"/>
  <c r="I13" i="1"/>
  <c r="D3" i="8"/>
  <c r="D42" i="8" s="1"/>
  <c r="D43" i="8" s="1"/>
  <c r="E100" i="1"/>
  <c r="D17" i="6" s="1"/>
  <c r="AC55" i="1"/>
  <c r="I108" i="1" s="1"/>
  <c r="C68" i="5" s="1"/>
  <c r="D114" i="1"/>
  <c r="H100" i="1"/>
  <c r="AE92" i="10" l="1"/>
  <c r="L95" i="10"/>
  <c r="L96" i="10" s="1"/>
  <c r="M137" i="10"/>
  <c r="O137" i="10"/>
  <c r="D118" i="1"/>
  <c r="Q95" i="1" s="1"/>
  <c r="K86" i="1"/>
  <c r="AN47" i="1" l="1"/>
  <c r="AN45" i="1"/>
  <c r="L41" i="1"/>
  <c r="AN41" i="1" s="1"/>
  <c r="H8" i="1"/>
  <c r="H3" i="1"/>
  <c r="U42" i="1"/>
  <c r="AN42" i="1" s="1"/>
  <c r="H27" i="1"/>
  <c r="AN44" i="1"/>
  <c r="AN43" i="1"/>
  <c r="L39" i="1"/>
  <c r="AN39" i="1" s="1"/>
  <c r="L38" i="1"/>
  <c r="AN38" i="1" s="1"/>
  <c r="L40" i="1"/>
  <c r="AN40" i="1" s="1"/>
  <c r="O37" i="1"/>
  <c r="AN37" i="1" s="1"/>
  <c r="H55" i="1" l="1"/>
  <c r="I8" i="1"/>
  <c r="U55" i="1"/>
  <c r="I94" i="1" s="1"/>
  <c r="K94" i="1" s="1"/>
  <c r="I3" i="1"/>
  <c r="H111" i="1"/>
  <c r="H106" i="1"/>
  <c r="I55" i="1" l="1"/>
  <c r="J94" i="1"/>
  <c r="H107" i="1"/>
  <c r="J111" i="1"/>
  <c r="Y36" i="1"/>
  <c r="AN36" i="1" s="1"/>
  <c r="Y55" i="1" l="1"/>
  <c r="I96" i="1" s="1"/>
  <c r="AB21" i="1"/>
  <c r="AN21" i="1" s="1"/>
  <c r="K96" i="1" l="1"/>
  <c r="Y59" i="1"/>
  <c r="AE34" i="1"/>
  <c r="AE55" i="1" s="1"/>
  <c r="AD34" i="1"/>
  <c r="Z34" i="1"/>
  <c r="X34" i="1"/>
  <c r="V34" i="1"/>
  <c r="W34" i="1"/>
  <c r="AB33" i="1"/>
  <c r="AN33" i="1" s="1"/>
  <c r="Q35" i="1"/>
  <c r="AB32" i="1"/>
  <c r="AN32" i="1" s="1"/>
  <c r="AB31" i="1"/>
  <c r="AN31" i="1" s="1"/>
  <c r="AM55" i="1"/>
  <c r="AK55" i="1"/>
  <c r="AJ55" i="1"/>
  <c r="AH55" i="1"/>
  <c r="AH57" i="1" s="1"/>
  <c r="AC57" i="1"/>
  <c r="AA55" i="1"/>
  <c r="AA57" i="1" s="1"/>
  <c r="P55" i="1"/>
  <c r="P57" i="1" s="1"/>
  <c r="K55" i="1"/>
  <c r="R29" i="1"/>
  <c r="AN29" i="1" s="1"/>
  <c r="L30" i="1"/>
  <c r="AN30" i="1" s="1"/>
  <c r="Q55" i="1" l="1"/>
  <c r="Q57" i="1" s="1"/>
  <c r="AN35" i="1"/>
  <c r="AF34" i="1"/>
  <c r="AN34" i="1" s="1"/>
  <c r="R55" i="1"/>
  <c r="L3" i="1"/>
  <c r="AN3" i="1" l="1"/>
  <c r="L15" i="1"/>
  <c r="AN15" i="1" s="1"/>
  <c r="AB28" i="1"/>
  <c r="AN28" i="1" s="1"/>
  <c r="V26" i="1"/>
  <c r="J108" i="1"/>
  <c r="D68" i="5" s="1"/>
  <c r="J96" i="1"/>
  <c r="I90" i="1"/>
  <c r="J90" i="1" l="1"/>
  <c r="K90" i="1"/>
  <c r="AB10" i="1" l="1"/>
  <c r="AN10" i="1" s="1"/>
  <c r="AB6" i="1"/>
  <c r="AN6" i="1" s="1"/>
  <c r="AB5" i="1"/>
  <c r="Z26" i="1"/>
  <c r="X26" i="1"/>
  <c r="W26" i="1"/>
  <c r="I91" i="1"/>
  <c r="I89" i="1"/>
  <c r="N27" i="1"/>
  <c r="AF26" i="1" l="1"/>
  <c r="AN26" i="1" s="1"/>
  <c r="J91" i="1"/>
  <c r="K91" i="1"/>
  <c r="AN5" i="1"/>
  <c r="N55" i="1"/>
  <c r="I87" i="1" s="1"/>
  <c r="AN27" i="1"/>
  <c r="J89" i="1"/>
  <c r="I86" i="1"/>
  <c r="O22" i="1"/>
  <c r="AB18" i="1"/>
  <c r="AN18" i="1" s="1"/>
  <c r="AB20" i="1"/>
  <c r="AN20" i="1" s="1"/>
  <c r="AB24" i="1"/>
  <c r="AN24" i="1" s="1"/>
  <c r="N57" i="1" l="1"/>
  <c r="AB55" i="1"/>
  <c r="I107" i="1" s="1"/>
  <c r="J87" i="1"/>
  <c r="K87" i="1"/>
  <c r="O55" i="1"/>
  <c r="O57" i="1" s="1"/>
  <c r="AN22" i="1"/>
  <c r="J86" i="1"/>
  <c r="X25" i="1"/>
  <c r="Z25" i="1"/>
  <c r="V25" i="1"/>
  <c r="AD25" i="1"/>
  <c r="W25" i="1"/>
  <c r="V19" i="1"/>
  <c r="Z19" i="1"/>
  <c r="AD19" i="1"/>
  <c r="W19" i="1"/>
  <c r="X19" i="1"/>
  <c r="L23" i="1"/>
  <c r="AN23" i="1" s="1"/>
  <c r="AF19" i="1" l="1"/>
  <c r="AN19" i="1" s="1"/>
  <c r="AF25" i="1"/>
  <c r="AN25" i="1" s="1"/>
  <c r="J107" i="1"/>
  <c r="L106" i="1"/>
  <c r="I88" i="1"/>
  <c r="AL11" i="1"/>
  <c r="AL55" i="1" s="1"/>
  <c r="I113" i="1" s="1"/>
  <c r="J113" i="1" s="1"/>
  <c r="AD17" i="1"/>
  <c r="Z17" i="1"/>
  <c r="X17" i="1"/>
  <c r="W17" i="1"/>
  <c r="V17" i="1"/>
  <c r="J115" i="1" l="1"/>
  <c r="AF17" i="1"/>
  <c r="AN17" i="1" s="1"/>
  <c r="AN11" i="1"/>
  <c r="J88" i="1"/>
  <c r="K88" i="1"/>
  <c r="M57" i="1"/>
  <c r="W9" i="1"/>
  <c r="W55" i="1" s="1"/>
  <c r="AD9" i="1"/>
  <c r="Z9" i="1"/>
  <c r="Z55" i="1" s="1"/>
  <c r="X9" i="1"/>
  <c r="X55" i="1" s="1"/>
  <c r="V9" i="1"/>
  <c r="S13" i="1"/>
  <c r="AN13" i="1" s="1"/>
  <c r="T7" i="1"/>
  <c r="R57" i="1"/>
  <c r="L14" i="1"/>
  <c r="AN14" i="1" s="1"/>
  <c r="L12" i="1"/>
  <c r="AN12" i="1" s="1"/>
  <c r="L8" i="1"/>
  <c r="AN8" i="1" s="1"/>
  <c r="L4" i="1"/>
  <c r="Q94" i="1" l="1"/>
  <c r="Q96" i="1" s="1"/>
  <c r="B37" i="5"/>
  <c r="B40" i="5" s="1"/>
  <c r="D75" i="5"/>
  <c r="AD55" i="1"/>
  <c r="AD57" i="1" s="1"/>
  <c r="AF9" i="1"/>
  <c r="AN4" i="1"/>
  <c r="T55" i="1"/>
  <c r="T57" i="1" s="1"/>
  <c r="I93" i="1" s="1"/>
  <c r="AN7" i="1"/>
  <c r="S55" i="1"/>
  <c r="I92" i="1" s="1"/>
  <c r="AG55" i="1"/>
  <c r="V55" i="1"/>
  <c r="W57" i="1"/>
  <c r="X57" i="1"/>
  <c r="Z57" i="1"/>
  <c r="J93" i="1" l="1"/>
  <c r="K93" i="1"/>
  <c r="K92" i="1"/>
  <c r="AF55" i="1"/>
  <c r="AN9" i="1"/>
  <c r="AG57" i="1"/>
  <c r="I112" i="1"/>
  <c r="AG56" i="1"/>
  <c r="Z56" i="1"/>
  <c r="I95" i="1" s="1"/>
  <c r="V57" i="1"/>
  <c r="J92" i="1"/>
  <c r="S57" i="1"/>
  <c r="J95" i="1" l="1"/>
  <c r="K95" i="1"/>
  <c r="D68" i="1"/>
  <c r="AN62" i="1" l="1"/>
  <c r="AL57" i="1"/>
  <c r="AK57" i="1"/>
  <c r="AG61" i="1" l="1"/>
  <c r="AI57" i="1"/>
  <c r="AL61" i="1"/>
  <c r="AA61" i="1"/>
  <c r="P61" i="1"/>
  <c r="AK59" i="1"/>
  <c r="AJ59" i="1"/>
  <c r="R61" i="1" l="1"/>
  <c r="T61" i="1"/>
  <c r="W61" i="1"/>
  <c r="AK61" i="1"/>
  <c r="X61" i="1"/>
  <c r="Z61" i="1"/>
  <c r="V61" i="1"/>
  <c r="AI59" i="1"/>
  <c r="AI61" i="1" s="1"/>
  <c r="AH59" i="1"/>
  <c r="AB59" i="1"/>
  <c r="AN58" i="1" s="1"/>
  <c r="AH61" i="1" l="1"/>
  <c r="AN59" i="1"/>
  <c r="AD61" i="1" l="1"/>
  <c r="D70" i="1" l="1"/>
  <c r="O61" i="1"/>
  <c r="N61" i="1"/>
  <c r="L71" i="1" l="1"/>
  <c r="M72" i="1" s="1"/>
  <c r="AJ57" i="1"/>
  <c r="AJ61" i="1" s="1"/>
  <c r="AC61" i="1"/>
  <c r="AB61" i="1" l="1"/>
  <c r="AN60" i="1" s="1"/>
  <c r="S61" i="1"/>
  <c r="D73" i="1" l="1"/>
  <c r="M61" i="1" l="1"/>
  <c r="Q61" i="1" l="1"/>
  <c r="E74" i="1"/>
  <c r="I61" i="1" l="1"/>
  <c r="L16" i="1" l="1"/>
  <c r="D69" i="1"/>
  <c r="AN16" i="1" l="1"/>
  <c r="L55" i="1"/>
  <c r="AN55" i="1" l="1"/>
  <c r="L57" i="1"/>
  <c r="I85" i="1"/>
  <c r="C44" i="5" s="1"/>
  <c r="D6" i="6" l="1"/>
  <c r="J59" i="1"/>
  <c r="L61" i="1"/>
  <c r="AN61" i="1" s="1"/>
  <c r="U57" i="1"/>
  <c r="AN57" i="1" s="1"/>
  <c r="AM57" i="1" s="1"/>
  <c r="U64" i="1"/>
  <c r="U65" i="1" s="1"/>
  <c r="J85" i="1"/>
  <c r="K85" i="1"/>
  <c r="K100" i="1" s="1"/>
  <c r="J101" i="1" s="1"/>
  <c r="D61" i="5" s="1"/>
  <c r="I100" i="1"/>
  <c r="L100" i="1" l="1"/>
  <c r="M106" i="1" s="1"/>
  <c r="C59" i="5"/>
  <c r="J100" i="1"/>
  <c r="D59" i="5" s="1"/>
  <c r="D44" i="5"/>
  <c r="D18" i="6"/>
  <c r="D19" i="6" s="1"/>
  <c r="D35" i="6" s="1"/>
  <c r="D11" i="6"/>
  <c r="L10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tc={08D801C2-312F-A045-A081-186424AF80E8}</author>
    <author>tc={142A15EC-B652-054A-BA9F-33F2695994F8}</author>
    <author>tc={25DE81BA-1993-9E47-B4C2-449058F3768F}</author>
  </authors>
  <commentList>
    <comment ref="F4" authorId="0" shapeId="0" xr:uid="{C873A130-30DF-1642-9241-104ECDB8483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includes several invoices
</t>
        </r>
      </text>
    </comment>
    <comment ref="G10" authorId="1" shapeId="0" xr:uid="{08D801C2-312F-A045-A081-186424AF80E8}">
      <text>
        <t>[Threaded comment]
Your version of Excel allows you to read this threaded comment; however, any edits to it will get removed if the file is opened in a newer version of Excel. Learn more: https://go.microsoft.com/fwlink/?linkid=870924
Comment:
    Add to the budget</t>
      </text>
    </comment>
    <comment ref="J13" authorId="0" shapeId="0" xr:uid="{412684C1-AE8E-2D4A-8FBC-6840B93DC1F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 cheques issued for zoom licence
</t>
        </r>
      </text>
    </comment>
    <comment ref="J31" authorId="2" shapeId="0" xr:uid="{142A15EC-B652-054A-BA9F-33F2695994F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Overpaid by 20p
</t>
      </text>
    </comment>
    <comment ref="K86" authorId="3" shapeId="0" xr:uid="{25DE81BA-1993-9E47-B4C2-449058F3768F}">
      <text>
        <t>[Threaded comment]
Your version of Excel allows you to read this threaded comment; however, any edits to it will get removed if the file is opened in a newer version of Excel. Learn more: https://go.microsoft.com/fwlink/?linkid=870924
Comment:
    Payroll admin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71" authorId="0" shapeId="0" xr:uid="{CF29637A-17FB-4047-BF95-819AA097600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Last FY
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tc={DBEA3D93-CB86-4E43-AD28-AA701E141362}</author>
    <author>tc={0DEF22FA-CA7F-E446-A9C4-141BBA0B70D2}</author>
    <author>tc={8A66642F-11F7-DD49-9273-665C884A74B0}</author>
  </authors>
  <commentList>
    <comment ref="E50" authorId="0" shapeId="0" xr:uid="{3583A390-2856-8847-AB01-B8A7D83DA6B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 cheques issued for zoom licence
</t>
        </r>
      </text>
    </comment>
    <comment ref="C56" authorId="1" shapeId="0" xr:uid="{DBEA3D93-CB86-4E43-AD28-AA701E141362}">
      <text>
        <t>[Threaded comment]
Your version of Excel allows you to read this threaded comment; however, any edits to it will get removed if the file is opened in a newer version of Excel. Learn more: https://go.microsoft.com/fwlink/?linkid=870924
Comment:
    Add to the budget</t>
      </text>
    </comment>
    <comment ref="E58" authorId="2" shapeId="0" xr:uid="{0DEF22FA-CA7F-E446-A9C4-141BBA0B70D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Overpaid by 20p
</t>
      </text>
    </comment>
    <comment ref="K117" authorId="3" shapeId="0" xr:uid="{8A66642F-11F7-DD49-9273-665C884A74B0}">
      <text>
        <t>[Threaded comment]
Your version of Excel allows you to read this threaded comment; however, any edits to it will get removed if the file is opened in a newer version of Excel. Learn more: https://go.microsoft.com/fwlink/?linkid=870924
Comment:
    Payroll admin</t>
      </text>
    </comment>
    <comment ref="B119" authorId="0" shapeId="0" xr:uid="{06BF68F7-C07E-AB4B-BBBD-287EE834DB4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see note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35" authorId="0" shapeId="0" xr:uid="{9D9FF510-8AE8-7246-A224-AFA7D656B86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corresponds with slight over payment of invoice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tc={B0958E1E-0C5F-CB42-80BC-19ABA4AB0DF0}</author>
  </authors>
  <commentList>
    <comment ref="E3" authorId="0" shapeId="0" xr:uid="{BFBBB962-C0A5-3148-8AE4-1739E754217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 cheques issued for zoom licence
</t>
        </r>
      </text>
    </comment>
    <comment ref="E9" authorId="1" shapeId="0" xr:uid="{B0958E1E-0C5F-CB42-80BC-19ABA4AB0DF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Overpaid by 20p
</t>
      </text>
    </comment>
  </commentList>
</comments>
</file>

<file path=xl/sharedStrings.xml><?xml version="1.0" encoding="utf-8"?>
<sst xmlns="http://schemas.openxmlformats.org/spreadsheetml/2006/main" count="811" uniqueCount="363">
  <si>
    <t>Supplier</t>
  </si>
  <si>
    <t xml:space="preserve">Description </t>
  </si>
  <si>
    <t>Date</t>
  </si>
  <si>
    <t>Net</t>
  </si>
  <si>
    <t>VAT</t>
  </si>
  <si>
    <t>VAT No</t>
  </si>
  <si>
    <t>Supplier inv No:</t>
  </si>
  <si>
    <t>Total</t>
  </si>
  <si>
    <t xml:space="preserve">EON </t>
  </si>
  <si>
    <t>East Suffolk</t>
  </si>
  <si>
    <t>SALC</t>
  </si>
  <si>
    <t>HMRC VAT</t>
  </si>
  <si>
    <t xml:space="preserve">Income </t>
  </si>
  <si>
    <t>Opus People Solns</t>
  </si>
  <si>
    <t>Budget - Training Reserve</t>
  </si>
  <si>
    <t>Budget - Election Fund</t>
  </si>
  <si>
    <t xml:space="preserve">Budget - Grant fund </t>
  </si>
  <si>
    <t>Budget - Neighbourhood Plan</t>
  </si>
  <si>
    <t xml:space="preserve">Adminstration </t>
  </si>
  <si>
    <t>Village Green</t>
  </si>
  <si>
    <t>Capital reserves</t>
  </si>
  <si>
    <t>Current Account Total Expenditure</t>
  </si>
  <si>
    <t>Cheque No</t>
  </si>
  <si>
    <t>Insurance</t>
  </si>
  <si>
    <t>CAS M'ship</t>
  </si>
  <si>
    <t>PC website</t>
  </si>
  <si>
    <t>SALC subs</t>
  </si>
  <si>
    <t>Village Hall hire</t>
  </si>
  <si>
    <t>Audit fees</t>
  </si>
  <si>
    <t>Village website Annual fee</t>
  </si>
  <si>
    <t>Car Park</t>
  </si>
  <si>
    <t>Play Area</t>
  </si>
  <si>
    <t>Verges/walls</t>
  </si>
  <si>
    <t>Transparency grant</t>
  </si>
  <si>
    <t>CIL monies SCDC</t>
  </si>
  <si>
    <t xml:space="preserve">Neighbourhood plan funding </t>
  </si>
  <si>
    <t xml:space="preserve">Budet remaining </t>
  </si>
  <si>
    <t>Budget ALLOCATED</t>
  </si>
  <si>
    <t>tick</t>
  </si>
  <si>
    <t>ok</t>
  </si>
  <si>
    <t>check box -all</t>
  </si>
  <si>
    <t>Balance yr end 2020</t>
  </si>
  <si>
    <t xml:space="preserve">Expenditure </t>
  </si>
  <si>
    <t>Unpresented cheques (18_19)</t>
  </si>
  <si>
    <t>Unpresented cheques (19_20)</t>
  </si>
  <si>
    <t>Bank Balance at end of year 2020</t>
  </si>
  <si>
    <t xml:space="preserve">Amount </t>
  </si>
  <si>
    <t xml:space="preserve">Savings account </t>
  </si>
  <si>
    <t>Total Worth</t>
  </si>
  <si>
    <t>Savings account interest</t>
  </si>
  <si>
    <t>Total savings interest</t>
  </si>
  <si>
    <t>2nd quarter</t>
  </si>
  <si>
    <t>3rd quarter</t>
  </si>
  <si>
    <t>4th quarter</t>
  </si>
  <si>
    <t>1st Quarter</t>
  </si>
  <si>
    <t xml:space="preserve">Current account income </t>
  </si>
  <si>
    <t>Total incomes</t>
  </si>
  <si>
    <t>Balance yr end 2019</t>
  </si>
  <si>
    <t xml:space="preserve">A </t>
  </si>
  <si>
    <t xml:space="preserve">Total CIL income carried over from previous years </t>
  </si>
  <si>
    <t xml:space="preserve">B </t>
  </si>
  <si>
    <t xml:space="preserve">Total CIL income received (receipts) </t>
  </si>
  <si>
    <t xml:space="preserve">C </t>
  </si>
  <si>
    <t xml:space="preserve">Total CIL spent (expenditure) </t>
  </si>
  <si>
    <t xml:space="preserve">D </t>
  </si>
  <si>
    <t xml:space="preserve">Total CIL repaid following a repayment notice </t>
  </si>
  <si>
    <t xml:space="preserve">E </t>
  </si>
  <si>
    <t xml:space="preserve">Total CIL retained at year end (A+B-C-D) </t>
  </si>
  <si>
    <t xml:space="preserve">CIL expenditure </t>
  </si>
  <si>
    <t>Box 1</t>
  </si>
  <si>
    <t>Box 2</t>
  </si>
  <si>
    <t>Box 3</t>
  </si>
  <si>
    <t>Box 4</t>
  </si>
  <si>
    <t>Box 5</t>
  </si>
  <si>
    <t>Box 6</t>
  </si>
  <si>
    <t>Box 7</t>
  </si>
  <si>
    <t>Box 8</t>
  </si>
  <si>
    <t xml:space="preserve">Box 9 </t>
  </si>
  <si>
    <t>AGAR Boxes</t>
  </si>
  <si>
    <t>Box 10</t>
  </si>
  <si>
    <t xml:space="preserve">Budget </t>
  </si>
  <si>
    <t xml:space="preserve">OPUS </t>
  </si>
  <si>
    <t xml:space="preserve">Suffolk Cloud </t>
  </si>
  <si>
    <t>email domain</t>
  </si>
  <si>
    <t>Fram Tech Centre</t>
  </si>
  <si>
    <t>COVID helpline drop</t>
  </si>
  <si>
    <t>Membership subscription</t>
  </si>
  <si>
    <t xml:space="preserve">SALC </t>
  </si>
  <si>
    <t>Kindlewood - March &amp; April 20</t>
  </si>
  <si>
    <t>Car Park annual usage</t>
  </si>
  <si>
    <t>Precept</t>
  </si>
  <si>
    <t>GeoXphere</t>
  </si>
  <si>
    <t>Mapping annual fee</t>
  </si>
  <si>
    <t>NP reserve</t>
  </si>
  <si>
    <t>A Bramall</t>
  </si>
  <si>
    <t xml:space="preserve">Reimburse of Zoom pro payment </t>
  </si>
  <si>
    <t>Precept under village hall hire</t>
  </si>
  <si>
    <t>Kindlewood - May 20</t>
  </si>
  <si>
    <t xml:space="preserve">Grasscutting </t>
  </si>
  <si>
    <t>Clerk payment</t>
  </si>
  <si>
    <t>20/21 FY</t>
  </si>
  <si>
    <t>ADMINISTRATION</t>
  </si>
  <si>
    <t>Insurance-Parish Council</t>
  </si>
  <si>
    <t>Audit Fees- Ext &amp; Internal</t>
  </si>
  <si>
    <t>CAS (Suff Acre) M’ship</t>
  </si>
  <si>
    <t>Village Website-Annual fee</t>
  </si>
  <si>
    <t>PC Website – Annual fee</t>
  </si>
  <si>
    <t>ROSPA Annual Inspection</t>
  </si>
  <si>
    <t>Section 137 – Charity donations</t>
  </si>
  <si>
    <t>TO CAPITAL RESERVES</t>
  </si>
  <si>
    <t>TOTAL</t>
  </si>
  <si>
    <t>Cheque No:</t>
  </si>
  <si>
    <t>Suffolk Welding Co</t>
  </si>
  <si>
    <t>litter bin</t>
  </si>
  <si>
    <t>Kindlewood - June20</t>
  </si>
  <si>
    <t>Glasdon</t>
  </si>
  <si>
    <t>Suffolk Digital</t>
  </si>
  <si>
    <t>COVID signage</t>
  </si>
  <si>
    <t>Trevor Brown CPFA</t>
  </si>
  <si>
    <t>Internal audit</t>
  </si>
  <si>
    <t>Aaron Nobbs</t>
  </si>
  <si>
    <t>Defib connection</t>
  </si>
  <si>
    <t>Kindlewood - July20</t>
  </si>
  <si>
    <t xml:space="preserve">Reporting Year 1 April 2020 to 31 March 2021 </t>
  </si>
  <si>
    <t>ref 012728</t>
  </si>
  <si>
    <t>ref013080</t>
  </si>
  <si>
    <t>SCCAPORS</t>
  </si>
  <si>
    <t>CIL money</t>
  </si>
  <si>
    <t>xvv126000103397</t>
  </si>
  <si>
    <t>VAT reimbursement</t>
  </si>
  <si>
    <t>Grant for Village green posts</t>
  </si>
  <si>
    <t>RSA</t>
  </si>
  <si>
    <t>Kindlewood - Aug 20</t>
  </si>
  <si>
    <t>Ian Palfreyman</t>
  </si>
  <si>
    <t>Screwfix invoice</t>
  </si>
  <si>
    <t>Village Hall Hire- (from Reserve)</t>
  </si>
  <si>
    <t>Council Advisory Service</t>
  </si>
  <si>
    <t>Total Precept</t>
  </si>
  <si>
    <t xml:space="preserve">BUDGET REMAINING </t>
  </si>
  <si>
    <t>Bettaprint</t>
  </si>
  <si>
    <t>Highways leaflets</t>
  </si>
  <si>
    <t>Kindlewood - Sept</t>
  </si>
  <si>
    <t>web hosting</t>
  </si>
  <si>
    <t xml:space="preserve">CAS </t>
  </si>
  <si>
    <t>Suffolk one</t>
  </si>
  <si>
    <t>website hosting</t>
  </si>
  <si>
    <t>mailshot</t>
  </si>
  <si>
    <t>amazon</t>
  </si>
  <si>
    <t>dog fouling signs</t>
  </si>
  <si>
    <t xml:space="preserve">Cemetery Hedge cutting </t>
  </si>
  <si>
    <t xml:space="preserve">Budget - Cemetery reserve - grass cutting </t>
  </si>
  <si>
    <t>PlaySafety</t>
  </si>
  <si>
    <t>ROSPA inspection</t>
  </si>
  <si>
    <t>UNPLANNED EXPENDITURE</t>
  </si>
  <si>
    <t>Unplanned expenditure</t>
  </si>
  <si>
    <t>unplanned expenditure</t>
  </si>
  <si>
    <t>Sept 20 credit to reserve</t>
  </si>
  <si>
    <t>Unplanned Expenditure</t>
  </si>
  <si>
    <t>Sept 20 credit to reserve from closed Cemetery reserve</t>
  </si>
  <si>
    <t>C/F yr end 1/4/2020</t>
  </si>
  <si>
    <t>Training Fund - C/F yr end 1/4/2020</t>
  </si>
  <si>
    <t>Election Fund - C/F yr end 1/4/2020</t>
  </si>
  <si>
    <t>Grants Fund -C/F yr end 1/4/2020</t>
  </si>
  <si>
    <t>Neighbourhood Plan - C/F yr end 1/4/2020</t>
  </si>
  <si>
    <t xml:space="preserve">Reserve total </t>
  </si>
  <si>
    <t>Total Reserves Total</t>
  </si>
  <si>
    <t>Grass Cutting and Hedging</t>
  </si>
  <si>
    <t>Christmas tree</t>
  </si>
  <si>
    <t>PKF Accountants</t>
  </si>
  <si>
    <t>External Audit</t>
  </si>
  <si>
    <t>SB20203436</t>
  </si>
  <si>
    <t>OPUS</t>
  </si>
  <si>
    <t>Easton PC</t>
  </si>
  <si>
    <t>Clerk salary</t>
  </si>
  <si>
    <t>training</t>
  </si>
  <si>
    <t>Post/Tele/stat/print ink/mileage/misc</t>
  </si>
  <si>
    <t>Harper</t>
  </si>
  <si>
    <t>Burial</t>
  </si>
  <si>
    <t>Stone mason fee</t>
  </si>
  <si>
    <t xml:space="preserve">CIL - !st payment </t>
  </si>
  <si>
    <t>Home Farm</t>
  </si>
  <si>
    <t>50% Precept</t>
  </si>
  <si>
    <t>Post/Tel/Stat/Print Ink/Mileage/misc</t>
  </si>
  <si>
    <t>Clerks Salary &amp; training</t>
  </si>
  <si>
    <t>Kindlewood invoices check</t>
  </si>
  <si>
    <t>WG &amp; EW Carter Farms</t>
  </si>
  <si>
    <t>n/a</t>
  </si>
  <si>
    <t>Clerk's Tax</t>
  </si>
  <si>
    <t>22191C</t>
  </si>
  <si>
    <t>BUDGET 2020/2021</t>
  </si>
  <si>
    <t>Forecast End of year 20/21</t>
  </si>
  <si>
    <t>PRECEPT REQUEST</t>
  </si>
  <si>
    <t>Kindlewood</t>
  </si>
  <si>
    <t>42UG037-0003</t>
  </si>
  <si>
    <t>Parish online</t>
  </si>
  <si>
    <t>Geoxphere</t>
  </si>
  <si>
    <t>Neighbourhood plan</t>
  </si>
  <si>
    <t>RING FENCED RESERVES</t>
  </si>
  <si>
    <t xml:space="preserve">NEIGHBOURHOOD PLAN - GOV.GRANT FUNDING- RECEIVED – LOCALITY </t>
  </si>
  <si>
    <t xml:space="preserve">CURRENT ACCOUNT </t>
  </si>
  <si>
    <t>NET BANK ACCOUNT</t>
  </si>
  <si>
    <t xml:space="preserve">RING FENCED. RESERVES </t>
  </si>
  <si>
    <t xml:space="preserve">EARMARKED FUNDING </t>
  </si>
  <si>
    <t>"SURPLUS"</t>
  </si>
  <si>
    <t xml:space="preserve">COMMUNITY FUND </t>
  </si>
  <si>
    <t xml:space="preserve">INTEREST </t>
  </si>
  <si>
    <t xml:space="preserve">SAVINGS ACCOUNT </t>
  </si>
  <si>
    <t xml:space="preserve">Bank Accounts </t>
  </si>
  <si>
    <t>SCC Locality Grant</t>
  </si>
  <si>
    <t xml:space="preserve">Transparency Grant </t>
  </si>
  <si>
    <t xml:space="preserve">Training </t>
  </si>
  <si>
    <t>Total ring fenced</t>
  </si>
  <si>
    <t>CIL MONEY carried over</t>
  </si>
  <si>
    <t>Hopkins Development  20/21</t>
  </si>
  <si>
    <t>Home Farm Development</t>
  </si>
  <si>
    <t>VOID</t>
  </si>
  <si>
    <t xml:space="preserve">BUDGET EXPENDED </t>
  </si>
  <si>
    <t>PAYROLL   Administration payment</t>
  </si>
  <si>
    <t xml:space="preserve">INV24144 </t>
  </si>
  <si>
    <t xml:space="preserve"> INV24021</t>
  </si>
  <si>
    <t>INV24028</t>
  </si>
  <si>
    <t xml:space="preserve">SALC  </t>
  </si>
  <si>
    <t xml:space="preserve">SALC    </t>
  </si>
  <si>
    <t>BBP</t>
  </si>
  <si>
    <t>Audrey Mayhew</t>
  </si>
  <si>
    <t>Moore Bros</t>
  </si>
  <si>
    <t xml:space="preserve">Clerk training </t>
  </si>
  <si>
    <t xml:space="preserve">Chair Training </t>
  </si>
  <si>
    <t xml:space="preserve">CLERK SALARY MARCH 21  </t>
  </si>
  <si>
    <t xml:space="preserve">CLERK SALARY Feb 21  </t>
  </si>
  <si>
    <t>Supplier detail</t>
  </si>
  <si>
    <t>Transaction detail</t>
  </si>
  <si>
    <t>Precept/Reserve /Funding</t>
  </si>
  <si>
    <t>Amount  £</t>
  </si>
  <si>
    <t>OPUS Opus People Solns</t>
  </si>
  <si>
    <t>Training</t>
  </si>
  <si>
    <r>
      <t> </t>
    </r>
    <r>
      <rPr>
        <b/>
        <sz val="11"/>
        <color rgb="FF000000"/>
        <rFont val="Arial"/>
        <family val="2"/>
      </rPr>
      <t>TOTAL Expenditure</t>
    </r>
  </si>
  <si>
    <t xml:space="preserve"> Expenditure   </t>
  </si>
  <si>
    <t>Summary of Bank Accounts</t>
  </si>
  <si>
    <t>Community Account (includes CIL receipts from E.Suffolk, NP grant &amp; Locality funding receipts)</t>
  </si>
  <si>
    <t xml:space="preserve">TOTAL       </t>
  </si>
  <si>
    <t>Balance</t>
  </si>
  <si>
    <t xml:space="preserve">Less Reserves </t>
  </si>
  <si>
    <t xml:space="preserve">Less Earmarked Funding </t>
  </si>
  <si>
    <t>Balance remaining to cover further commitments during FY 20/21</t>
  </si>
  <si>
    <t>CIL MONEY carried over from previous years</t>
  </si>
  <si>
    <t>Hopkins Development 20/21</t>
  </si>
  <si>
    <t xml:space="preserve">TOTAL CIL </t>
  </si>
  <si>
    <t xml:space="preserve">Current position (31/3/21)                       </t>
  </si>
  <si>
    <t xml:space="preserve">* accrued in 21_20 but not presented </t>
  </si>
  <si>
    <t xml:space="preserve">Payroll admin </t>
  </si>
  <si>
    <t>Clerk training</t>
  </si>
  <si>
    <t>Chair training</t>
  </si>
  <si>
    <t>Cancelled cheque charge (5*12.5)</t>
  </si>
  <si>
    <t>Barclays</t>
  </si>
  <si>
    <t>3030/3031</t>
  </si>
  <si>
    <t>31st March 2020</t>
  </si>
  <si>
    <t>31st March 2021</t>
  </si>
  <si>
    <t xml:space="preserve">Balance brought forward </t>
  </si>
  <si>
    <t>Precept rate/levies</t>
  </si>
  <si>
    <t>Staff costs</t>
  </si>
  <si>
    <t>Loans &amp; repayments</t>
  </si>
  <si>
    <t>All other payments</t>
  </si>
  <si>
    <t>Total fixed assets</t>
  </si>
  <si>
    <t>Total borrowings</t>
  </si>
  <si>
    <t>Balances carried forward</t>
  </si>
  <si>
    <t>Total value of cash &amp; short term investments</t>
  </si>
  <si>
    <t>Total other receipts</t>
  </si>
  <si>
    <t xml:space="preserve">Represented by </t>
  </si>
  <si>
    <t>Current account 31.3.20</t>
  </si>
  <si>
    <t xml:space="preserve">Deposit account </t>
  </si>
  <si>
    <t>Opus</t>
  </si>
  <si>
    <t xml:space="preserve">PFK </t>
  </si>
  <si>
    <t>Balance b/f</t>
  </si>
  <si>
    <t>Add income</t>
  </si>
  <si>
    <t>Less expenditure</t>
  </si>
  <si>
    <t>Bank Reconciliation 31st March 2021</t>
  </si>
  <si>
    <t>bank charges</t>
  </si>
  <si>
    <t>Less unpresented payments/charges</t>
  </si>
  <si>
    <t>22191c</t>
  </si>
  <si>
    <t>101209 &amp; 210</t>
  </si>
  <si>
    <t>Amazon</t>
  </si>
  <si>
    <t>Screwfix</t>
  </si>
  <si>
    <t>Zoom payment</t>
  </si>
  <si>
    <t xml:space="preserve">Kindlewood </t>
  </si>
  <si>
    <t>Bank reconciliation – pro forma</t>
  </si>
  <si>
    <t xml:space="preserve">Name of smaller authority: </t>
  </si>
  <si>
    <t>Easton Parish Council</t>
  </si>
  <si>
    <t xml:space="preserve">County area (local councils and parish meetings only): </t>
  </si>
  <si>
    <t>Suffolk</t>
  </si>
  <si>
    <t>Prepared by (Name and Role):</t>
  </si>
  <si>
    <t>Alison Bramall, Clerk/RFO</t>
  </si>
  <si>
    <t>Date:</t>
  </si>
  <si>
    <t>£</t>
  </si>
  <si>
    <t>Current Account</t>
  </si>
  <si>
    <t>Savings Account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</si>
  <si>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</si>
  <si>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2021” in Section 2 of the AGAR – and will also agree to Box 7 where the accounts are prepared on a receipts and payments basis. Please complete the highlighted boxes, remembering that unpresented cheques should be entered as negative figures.</t>
    </r>
  </si>
  <si>
    <t>Financial year ending 31 March 2021</t>
  </si>
  <si>
    <r>
      <t>Less: any unpresented cheques/payments as at 31/3/21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</si>
  <si>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31/3/21</t>
  </si>
  <si>
    <t>Balance per bank statements as at 31/3/21:</t>
  </si>
  <si>
    <t>Barclays bank charges</t>
  </si>
  <si>
    <t>Difference</t>
  </si>
  <si>
    <t>Totals</t>
  </si>
  <si>
    <t>Net Expenditure</t>
  </si>
  <si>
    <t>AGAR Form  boxes</t>
  </si>
  <si>
    <t xml:space="preserve">Box 1 </t>
  </si>
  <si>
    <t xml:space="preserve">Box 5 </t>
  </si>
  <si>
    <t>BOX 3 - Other payments</t>
  </si>
  <si>
    <t xml:space="preserve">BOX  2  - Precept payments </t>
  </si>
  <si>
    <t>Cell  I85</t>
  </si>
  <si>
    <t>Cell I85 -  j55</t>
  </si>
  <si>
    <t>cells (O100:O102)-cells (O103:O105)</t>
  </si>
  <si>
    <t>C/F from last year 19/20</t>
  </si>
  <si>
    <t>BOX 3  - Interest</t>
  </si>
  <si>
    <t>BOX 3 - CIL payments</t>
  </si>
  <si>
    <t>Income breakdown</t>
  </si>
  <si>
    <t>Box 3 - Total</t>
  </si>
  <si>
    <t>Cell E108</t>
  </si>
  <si>
    <t>cell E104</t>
  </si>
  <si>
    <t>Reconcilliation 31/3/21</t>
  </si>
  <si>
    <t>UNPRESENTED CHEQUES/Payments</t>
  </si>
  <si>
    <t>Clerks salary</t>
  </si>
  <si>
    <t>Box 1  - Balance brought forward from FY19/20</t>
  </si>
  <si>
    <t xml:space="preserve">Box 4 - clerk's salary </t>
  </si>
  <si>
    <t xml:space="preserve">Box 6 - other expenditure </t>
  </si>
  <si>
    <t>VAT to be reclaimed from HMRC</t>
  </si>
  <si>
    <t xml:space="preserve">AGAR Form Breakdown </t>
  </si>
  <si>
    <t xml:space="preserve">Barclays </t>
  </si>
  <si>
    <t>cancelled cheques charges</t>
  </si>
  <si>
    <t>Cheques issued but not presented or payments for FY 20/21 – as of 31st March 2021</t>
  </si>
  <si>
    <t>Business Savings Account Balance</t>
  </si>
  <si>
    <t xml:space="preserve">Easton PC </t>
  </si>
  <si>
    <t>Less unpresented cheques/payments</t>
  </si>
  <si>
    <t>Payments presented for FY 20/21 Accounts</t>
  </si>
  <si>
    <t xml:space="preserve">Box 8 </t>
  </si>
  <si>
    <t xml:space="preserve">Box 10 </t>
  </si>
  <si>
    <t>Gross expenditure</t>
  </si>
  <si>
    <t>Purchase date</t>
  </si>
  <si>
    <t>Total assets for Easton PC 31/3/21</t>
  </si>
  <si>
    <t xml:space="preserve">Supplier </t>
  </si>
  <si>
    <t xml:space="preserve">Cost </t>
  </si>
  <si>
    <t>Assets register carried over from 19/20</t>
  </si>
  <si>
    <t>Assets purchased in 20/21</t>
  </si>
  <si>
    <t>EASTON PC Asset Register 20/21</t>
  </si>
  <si>
    <t>Other Income</t>
  </si>
  <si>
    <t>Other expenditure</t>
  </si>
  <si>
    <t>Balance brought forward from last year (19/20)</t>
  </si>
  <si>
    <t xml:space="preserve">Value of bank accounts </t>
  </si>
  <si>
    <t xml:space="preserve">Income minus expenditure </t>
  </si>
  <si>
    <t>Fixed Assets</t>
  </si>
  <si>
    <t>Borrowings</t>
  </si>
  <si>
    <t>March 31st 2021</t>
  </si>
  <si>
    <t>Brief Explantion  - see form for more details</t>
  </si>
  <si>
    <t>Staff salary</t>
  </si>
  <si>
    <t xml:space="preserve">Borrowings </t>
  </si>
  <si>
    <t>Financial Report – March 31st, 2021</t>
  </si>
  <si>
    <t>Breakdown of EPC AGAR figures 20/21</t>
  </si>
  <si>
    <t>Easton PC VAT Refund Claim</t>
  </si>
  <si>
    <t>Screwfix in</t>
  </si>
  <si>
    <t>cheque refunded</t>
  </si>
  <si>
    <t>Net balances as at 31/3/21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</si>
</sst>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_);[Red]\(&quot;£&quot;#,##0.00\)"/>
    <numFmt numFmtId="43" formatCode="_(* #,##0.00_);_(* \(#,##0.00\);_(* &quot;-&quot;??_);_(@_)"/>
    <numFmt numFmtId="164" formatCode="0.0"/>
    <numFmt numFmtId="165" formatCode="_-* #,##0.00_-;\-* #,##0.00_-;_-* &quot;-&quot;??_-;_-@_-"/>
    <numFmt numFmtId="166" formatCode="_-* #,##0.0_-;\-* #,##0.0_-;_-* &quot;-&quot;??_-;_-@_-"/>
    <numFmt numFmtId="167" formatCode="#,##0.00;\(#,##0.00\)"/>
  </numFmts>
  <fonts count="55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u/>
      <sz val="16"/>
      <color rgb="FFFF0000"/>
      <name val="Arial"/>
      <family val="2"/>
    </font>
    <font>
      <b/>
      <sz val="14"/>
      <color rgb="FF002060"/>
      <name val="Arial"/>
      <family val="2"/>
    </font>
    <font>
      <sz val="10"/>
      <color rgb="FF000000"/>
      <name val="Helvetica Neue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b/>
      <u/>
      <sz val="14"/>
      <color rgb="FF000000"/>
      <name val="Arial"/>
      <family val="2"/>
    </font>
    <font>
      <b/>
      <sz val="10"/>
      <color theme="9"/>
      <name val="Helvetica Neue"/>
      <family val="2"/>
    </font>
    <font>
      <sz val="10"/>
      <color theme="9"/>
      <name val="Helvetica Neue"/>
      <family val="2"/>
    </font>
    <font>
      <sz val="10"/>
      <color theme="1"/>
      <name val="Helvetica Neue"/>
      <family val="2"/>
    </font>
    <font>
      <sz val="20"/>
      <color theme="1"/>
      <name val="Calibri"/>
      <family val="2"/>
      <scheme val="minor"/>
    </font>
    <font>
      <sz val="10"/>
      <color indexed="8"/>
      <name val="Helvetica Neue"/>
      <family val="2"/>
    </font>
    <font>
      <b/>
      <sz val="18"/>
      <color theme="1"/>
      <name val="Calibri (Body)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rgb="FF002060"/>
      <name val="Calibri (Body)"/>
    </font>
    <font>
      <b/>
      <u/>
      <sz val="14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u/>
      <sz val="16"/>
      <color rgb="FF0070C0"/>
      <name val="Arial"/>
      <family val="2"/>
    </font>
    <font>
      <b/>
      <u/>
      <sz val="16"/>
      <color rgb="FF0070C0"/>
      <name val="Calibri"/>
      <family val="2"/>
      <scheme val="minor"/>
    </font>
    <font>
      <b/>
      <sz val="18"/>
      <color rgb="FF000000"/>
      <name val="Arial"/>
      <family val="2"/>
    </font>
    <font>
      <b/>
      <sz val="20"/>
      <color theme="1"/>
      <name val="Arial"/>
      <family val="2"/>
    </font>
    <font>
      <b/>
      <u/>
      <sz val="20"/>
      <color rgb="FF002060"/>
      <name val="Arial"/>
      <family val="2"/>
    </font>
    <font>
      <b/>
      <sz val="18"/>
      <color theme="1"/>
      <name val="Calibri"/>
      <family val="2"/>
      <scheme val="minor"/>
    </font>
    <font>
      <sz val="20"/>
      <color rgb="FF00206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3FE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7E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9EA"/>
        <bgColor indexed="64"/>
      </patternFill>
    </fill>
    <fill>
      <patternFill patternType="solid">
        <fgColor rgb="FFE9FFE0"/>
        <bgColor indexed="64"/>
      </patternFill>
    </fill>
    <fill>
      <patternFill patternType="solid">
        <fgColor rgb="FFAAFFE7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EDBED6"/>
        <bgColor indexed="64"/>
      </patternFill>
    </fill>
    <fill>
      <patternFill patternType="solid">
        <fgColor rgb="FFE8C6ED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D7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7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0" fillId="0" borderId="1" xfId="0" applyBorder="1"/>
    <xf numFmtId="1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1" xfId="0" applyFill="1" applyBorder="1"/>
    <xf numFmtId="0" fontId="0" fillId="0" borderId="0" xfId="0" applyFill="1"/>
    <xf numFmtId="43" fontId="0" fillId="0" borderId="1" xfId="1" applyFont="1" applyBorder="1"/>
    <xf numFmtId="43" fontId="3" fillId="0" borderId="1" xfId="1" applyFont="1" applyBorder="1"/>
    <xf numFmtId="43" fontId="3" fillId="3" borderId="1" xfId="1" applyFont="1" applyFill="1" applyBorder="1"/>
    <xf numFmtId="0" fontId="5" fillId="0" borderId="0" xfId="0" applyFont="1"/>
    <xf numFmtId="0" fontId="2" fillId="0" borderId="1" xfId="0" applyFont="1" applyFill="1" applyBorder="1"/>
    <xf numFmtId="43" fontId="0" fillId="0" borderId="0" xfId="0" applyNumberFormat="1"/>
    <xf numFmtId="0" fontId="0" fillId="6" borderId="0" xfId="0" applyFill="1"/>
    <xf numFmtId="43" fontId="1" fillId="0" borderId="1" xfId="1" applyFont="1" applyBorder="1" applyAlignment="1">
      <alignment horizontal="center" wrapText="1"/>
    </xf>
    <xf numFmtId="43" fontId="0" fillId="0" borderId="1" xfId="1" applyFont="1" applyFill="1" applyBorder="1"/>
    <xf numFmtId="43" fontId="0" fillId="0" borderId="0" xfId="1" applyFont="1" applyFill="1"/>
    <xf numFmtId="43" fontId="0" fillId="0" borderId="0" xfId="1" applyFont="1"/>
    <xf numFmtId="0" fontId="0" fillId="0" borderId="0" xfId="0" applyBorder="1"/>
    <xf numFmtId="43" fontId="5" fillId="0" borderId="0" xfId="1" applyFont="1"/>
    <xf numFmtId="0" fontId="11" fillId="0" borderId="13" xfId="0" applyFont="1" applyBorder="1" applyAlignment="1">
      <alignment horizontal="right" vertical="center"/>
    </xf>
    <xf numFmtId="0" fontId="13" fillId="0" borderId="4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1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right"/>
    </xf>
    <xf numFmtId="0" fontId="14" fillId="0" borderId="0" xfId="0" applyFont="1" applyFill="1"/>
    <xf numFmtId="0" fontId="14" fillId="6" borderId="1" xfId="0" applyFont="1" applyFill="1" applyBorder="1"/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43" fontId="8" fillId="0" borderId="1" xfId="1" applyFont="1" applyBorder="1"/>
    <xf numFmtId="43" fontId="8" fillId="6" borderId="1" xfId="1" applyFont="1" applyFill="1" applyBorder="1"/>
    <xf numFmtId="43" fontId="8" fillId="5" borderId="1" xfId="1" applyFont="1" applyFill="1" applyBorder="1"/>
    <xf numFmtId="43" fontId="8" fillId="4" borderId="1" xfId="1" applyFont="1" applyFill="1" applyBorder="1"/>
    <xf numFmtId="43" fontId="8" fillId="3" borderId="1" xfId="1" applyFont="1" applyFill="1" applyBorder="1"/>
    <xf numFmtId="43" fontId="8" fillId="0" borderId="1" xfId="0" applyNumberFormat="1" applyFont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43" fontId="8" fillId="0" borderId="1" xfId="1" applyFont="1" applyFill="1" applyBorder="1"/>
    <xf numFmtId="0" fontId="14" fillId="0" borderId="1" xfId="0" applyFont="1" applyBorder="1"/>
    <xf numFmtId="1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43" fontId="14" fillId="6" borderId="1" xfId="1" applyFont="1" applyFill="1" applyBorder="1"/>
    <xf numFmtId="43" fontId="14" fillId="0" borderId="1" xfId="1" applyFont="1" applyFill="1" applyBorder="1"/>
    <xf numFmtId="0" fontId="14" fillId="0" borderId="0" xfId="0" applyFont="1"/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14" fillId="6" borderId="0" xfId="0" applyFont="1" applyFill="1"/>
    <xf numFmtId="0" fontId="14" fillId="0" borderId="1" xfId="0" applyFont="1" applyBorder="1" applyAlignment="1"/>
    <xf numFmtId="8" fontId="14" fillId="0" borderId="1" xfId="0" applyNumberFormat="1" applyFont="1" applyBorder="1"/>
    <xf numFmtId="43" fontId="14" fillId="0" borderId="0" xfId="0" applyNumberFormat="1" applyFont="1" applyAlignment="1">
      <alignment horizontal="right"/>
    </xf>
    <xf numFmtId="43" fontId="14" fillId="0" borderId="1" xfId="0" applyNumberFormat="1" applyFont="1" applyBorder="1"/>
    <xf numFmtId="43" fontId="14" fillId="0" borderId="0" xfId="0" applyNumberFormat="1" applyFont="1"/>
    <xf numFmtId="0" fontId="13" fillId="0" borderId="7" xfId="0" applyFont="1" applyBorder="1" applyAlignment="1">
      <alignment horizontal="justify" vertical="center" wrapText="1"/>
    </xf>
    <xf numFmtId="0" fontId="13" fillId="0" borderId="7" xfId="0" applyFont="1" applyBorder="1" applyAlignment="1">
      <alignment vertical="center" wrapText="1"/>
    </xf>
    <xf numFmtId="8" fontId="15" fillId="0" borderId="8" xfId="0" applyNumberFormat="1" applyFont="1" applyBorder="1" applyAlignment="1">
      <alignment vertical="center" wrapText="1"/>
    </xf>
    <xf numFmtId="43" fontId="14" fillId="10" borderId="1" xfId="0" applyNumberFormat="1" applyFont="1" applyFill="1" applyBorder="1"/>
    <xf numFmtId="0" fontId="14" fillId="0" borderId="0" xfId="0" applyFont="1" applyAlignment="1">
      <alignment horizontal="right" wrapText="1"/>
    </xf>
    <xf numFmtId="0" fontId="13" fillId="0" borderId="4" xfId="0" applyFont="1" applyBorder="1" applyAlignment="1">
      <alignment horizontal="justify" vertical="center" wrapText="1"/>
    </xf>
    <xf numFmtId="8" fontId="15" fillId="0" borderId="10" xfId="0" applyNumberFormat="1" applyFont="1" applyBorder="1" applyAlignment="1">
      <alignment vertical="center" wrapText="1"/>
    </xf>
    <xf numFmtId="8" fontId="14" fillId="10" borderId="1" xfId="0" applyNumberFormat="1" applyFont="1" applyFill="1" applyBorder="1"/>
    <xf numFmtId="8" fontId="13" fillId="0" borderId="10" xfId="0" applyNumberFormat="1" applyFont="1" applyBorder="1" applyAlignment="1">
      <alignment vertical="center" wrapText="1"/>
    </xf>
    <xf numFmtId="0" fontId="15" fillId="0" borderId="12" xfId="0" applyFont="1" applyBorder="1" applyAlignment="1">
      <alignment horizontal="justify" vertical="center" wrapText="1"/>
    </xf>
    <xf numFmtId="0" fontId="15" fillId="0" borderId="12" xfId="0" applyFont="1" applyBorder="1" applyAlignment="1">
      <alignment vertical="center" wrapText="1"/>
    </xf>
    <xf numFmtId="8" fontId="15" fillId="0" borderId="13" xfId="0" applyNumberFormat="1" applyFont="1" applyBorder="1" applyAlignment="1">
      <alignment vertical="center" wrapText="1"/>
    </xf>
    <xf numFmtId="43" fontId="14" fillId="9" borderId="1" xfId="0" applyNumberFormat="1" applyFont="1" applyFill="1" applyBorder="1"/>
    <xf numFmtId="0" fontId="14" fillId="0" borderId="0" xfId="0" applyFont="1" applyBorder="1"/>
    <xf numFmtId="43" fontId="14" fillId="10" borderId="1" xfId="1" applyFont="1" applyFill="1" applyBorder="1"/>
    <xf numFmtId="1" fontId="14" fillId="0" borderId="5" xfId="0" applyNumberFormat="1" applyFont="1" applyBorder="1" applyAlignment="1">
      <alignment horizontal="center"/>
    </xf>
    <xf numFmtId="0" fontId="8" fillId="0" borderId="5" xfId="0" applyFont="1" applyFill="1" applyBorder="1"/>
    <xf numFmtId="43" fontId="8" fillId="0" borderId="5" xfId="0" applyNumberFormat="1" applyFont="1" applyBorder="1"/>
    <xf numFmtId="8" fontId="14" fillId="0" borderId="0" xfId="0" applyNumberFormat="1" applyFont="1" applyAlignment="1">
      <alignment horizontal="right"/>
    </xf>
    <xf numFmtId="0" fontId="14" fillId="0" borderId="0" xfId="0" applyFont="1" applyFill="1" applyBorder="1"/>
    <xf numFmtId="1" fontId="14" fillId="0" borderId="0" xfId="0" applyNumberFormat="1" applyFont="1" applyFill="1" applyBorder="1" applyAlignment="1">
      <alignment horizontal="center"/>
    </xf>
    <xf numFmtId="43" fontId="14" fillId="0" borderId="0" xfId="0" applyNumberFormat="1" applyFont="1" applyFill="1" applyBorder="1"/>
    <xf numFmtId="8" fontId="14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8" fillId="2" borderId="1" xfId="0" applyFont="1" applyFill="1" applyBorder="1"/>
    <xf numFmtId="1" fontId="14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14" fillId="2" borderId="1" xfId="0" applyFont="1" applyFill="1" applyBorder="1"/>
    <xf numFmtId="43" fontId="14" fillId="2" borderId="1" xfId="1" applyFont="1" applyFill="1" applyBorder="1"/>
    <xf numFmtId="0" fontId="8" fillId="2" borderId="1" xfId="0" applyFont="1" applyFill="1" applyBorder="1" applyAlignment="1">
      <alignment horizontal="left"/>
    </xf>
    <xf numFmtId="1" fontId="14" fillId="8" borderId="1" xfId="0" applyNumberFormat="1" applyFont="1" applyFill="1" applyBorder="1" applyAlignment="1">
      <alignment horizontal="center"/>
    </xf>
    <xf numFmtId="0" fontId="8" fillId="8" borderId="1" xfId="0" applyFont="1" applyFill="1" applyBorder="1"/>
    <xf numFmtId="0" fontId="14" fillId="8" borderId="1" xfId="0" applyFont="1" applyFill="1" applyBorder="1"/>
    <xf numFmtId="0" fontId="14" fillId="8" borderId="1" xfId="0" applyFont="1" applyFill="1" applyBorder="1" applyAlignment="1">
      <alignment horizontal="right"/>
    </xf>
    <xf numFmtId="0" fontId="8" fillId="8" borderId="1" xfId="0" applyFont="1" applyFill="1" applyBorder="1" applyAlignment="1">
      <alignment horizontal="right"/>
    </xf>
    <xf numFmtId="0" fontId="8" fillId="0" borderId="0" xfId="0" applyFont="1"/>
    <xf numFmtId="0" fontId="8" fillId="6" borderId="0" xfId="0" applyFont="1" applyFill="1"/>
    <xf numFmtId="0" fontId="13" fillId="0" borderId="15" xfId="0" applyFont="1" applyBorder="1" applyAlignment="1">
      <alignment horizontal="right" vertical="center" wrapText="1"/>
    </xf>
    <xf numFmtId="0" fontId="13" fillId="0" borderId="17" xfId="0" applyFont="1" applyBorder="1" applyAlignment="1">
      <alignment horizontal="right" vertical="center" wrapText="1"/>
    </xf>
    <xf numFmtId="0" fontId="13" fillId="17" borderId="17" xfId="0" applyFont="1" applyFill="1" applyBorder="1" applyAlignment="1">
      <alignment horizontal="right" vertical="center" wrapText="1"/>
    </xf>
    <xf numFmtId="0" fontId="13" fillId="12" borderId="13" xfId="0" applyFont="1" applyFill="1" applyBorder="1" applyAlignment="1">
      <alignment horizontal="right" vertical="center" wrapText="1"/>
    </xf>
    <xf numFmtId="0" fontId="13" fillId="0" borderId="13" xfId="0" applyFont="1" applyBorder="1" applyAlignment="1">
      <alignment horizontal="right" vertical="center" wrapText="1"/>
    </xf>
    <xf numFmtId="17" fontId="14" fillId="0" borderId="1" xfId="0" applyNumberFormat="1" applyFont="1" applyFill="1" applyBorder="1" applyAlignment="1">
      <alignment horizontal="center"/>
    </xf>
    <xf numFmtId="0" fontId="14" fillId="11" borderId="1" xfId="0" applyFont="1" applyFill="1" applyBorder="1"/>
    <xf numFmtId="0" fontId="2" fillId="11" borderId="1" xfId="0" applyFont="1" applyFill="1" applyBorder="1"/>
    <xf numFmtId="0" fontId="14" fillId="3" borderId="1" xfId="0" applyFont="1" applyFill="1" applyBorder="1"/>
    <xf numFmtId="0" fontId="2" fillId="3" borderId="1" xfId="0" applyFont="1" applyFill="1" applyBorder="1"/>
    <xf numFmtId="1" fontId="14" fillId="2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43" fontId="14" fillId="0" borderId="0" xfId="0" applyNumberFormat="1" applyFont="1" applyAlignment="1">
      <alignment wrapText="1"/>
    </xf>
    <xf numFmtId="0" fontId="14" fillId="0" borderId="0" xfId="0" applyFont="1" applyFill="1" applyAlignment="1">
      <alignment wrapText="1"/>
    </xf>
    <xf numFmtId="0" fontId="0" fillId="0" borderId="0" xfId="0" applyAlignment="1">
      <alignment wrapText="1"/>
    </xf>
    <xf numFmtId="2" fontId="14" fillId="0" borderId="1" xfId="0" applyNumberFormat="1" applyFont="1" applyFill="1" applyBorder="1"/>
    <xf numFmtId="0" fontId="14" fillId="18" borderId="0" xfId="0" applyFont="1" applyFill="1" applyBorder="1"/>
    <xf numFmtId="0" fontId="13" fillId="18" borderId="0" xfId="0" applyFont="1" applyFill="1" applyBorder="1" applyAlignment="1">
      <alignment horizontal="right" vertical="center" wrapText="1"/>
    </xf>
    <xf numFmtId="0" fontId="8" fillId="18" borderId="0" xfId="0" applyFont="1" applyFill="1" applyBorder="1"/>
    <xf numFmtId="0" fontId="0" fillId="18" borderId="0" xfId="0" applyFill="1" applyBorder="1"/>
    <xf numFmtId="0" fontId="14" fillId="18" borderId="0" xfId="0" applyFont="1" applyFill="1" applyBorder="1" applyAlignment="1">
      <alignment horizontal="right" vertical="center" wrapText="1"/>
    </xf>
    <xf numFmtId="0" fontId="14" fillId="18" borderId="0" xfId="0" applyFont="1" applyFill="1"/>
    <xf numFmtId="0" fontId="0" fillId="18" borderId="0" xfId="0" applyFill="1"/>
    <xf numFmtId="0" fontId="14" fillId="18" borderId="1" xfId="0" applyFont="1" applyFill="1" applyBorder="1"/>
    <xf numFmtId="2" fontId="14" fillId="18" borderId="1" xfId="0" applyNumberFormat="1" applyFont="1" applyFill="1" applyBorder="1"/>
    <xf numFmtId="43" fontId="8" fillId="18" borderId="1" xfId="1" applyFont="1" applyFill="1" applyBorder="1"/>
    <xf numFmtId="0" fontId="8" fillId="18" borderId="1" xfId="0" applyFont="1" applyFill="1" applyBorder="1" applyAlignment="1">
      <alignment horizontal="center" wrapText="1"/>
    </xf>
    <xf numFmtId="43" fontId="14" fillId="18" borderId="1" xfId="0" applyNumberFormat="1" applyFont="1" applyFill="1" applyBorder="1"/>
    <xf numFmtId="0" fontId="13" fillId="18" borderId="20" xfId="0" applyFont="1" applyFill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4" fontId="14" fillId="0" borderId="1" xfId="0" applyNumberFormat="1" applyFont="1" applyFill="1" applyBorder="1"/>
    <xf numFmtId="0" fontId="8" fillId="0" borderId="0" xfId="0" applyFont="1" applyFill="1" applyBorder="1"/>
    <xf numFmtId="0" fontId="0" fillId="0" borderId="0" xfId="0" applyFill="1" applyBorder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3" fontId="14" fillId="0" borderId="0" xfId="1" applyFont="1" applyFill="1" applyBorder="1"/>
    <xf numFmtId="0" fontId="7" fillId="0" borderId="0" xfId="0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/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0" fillId="14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vertical="center"/>
    </xf>
    <xf numFmtId="0" fontId="10" fillId="20" borderId="1" xfId="0" applyFont="1" applyFill="1" applyBorder="1" applyAlignment="1">
      <alignment vertical="center"/>
    </xf>
    <xf numFmtId="0" fontId="15" fillId="20" borderId="1" xfId="0" applyFont="1" applyFill="1" applyBorder="1" applyAlignment="1">
      <alignment horizontal="right" vertical="center"/>
    </xf>
    <xf numFmtId="0" fontId="8" fillId="21" borderId="1" xfId="0" applyFont="1" applyFill="1" applyBorder="1" applyAlignment="1">
      <alignment horizontal="right" vertical="center"/>
    </xf>
    <xf numFmtId="0" fontId="14" fillId="21" borderId="1" xfId="0" applyFont="1" applyFill="1" applyBorder="1"/>
    <xf numFmtId="4" fontId="14" fillId="21" borderId="1" xfId="0" applyNumberFormat="1" applyFont="1" applyFill="1" applyBorder="1"/>
    <xf numFmtId="0" fontId="9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4" fontId="0" fillId="20" borderId="1" xfId="0" applyNumberFormat="1" applyFill="1" applyBorder="1"/>
    <xf numFmtId="0" fontId="1" fillId="3" borderId="3" xfId="0" applyFont="1" applyFill="1" applyBorder="1" applyAlignment="1">
      <alignment horizontal="center" wrapText="1"/>
    </xf>
    <xf numFmtId="2" fontId="14" fillId="0" borderId="1" xfId="0" applyNumberFormat="1" applyFont="1" applyBorder="1"/>
    <xf numFmtId="2" fontId="0" fillId="0" borderId="1" xfId="0" applyNumberFormat="1" applyBorder="1"/>
    <xf numFmtId="0" fontId="13" fillId="18" borderId="0" xfId="0" applyFont="1" applyFill="1" applyBorder="1" applyAlignment="1">
      <alignment horizontal="right" vertical="center" wrapText="1"/>
    </xf>
    <xf numFmtId="4" fontId="14" fillId="0" borderId="0" xfId="0" applyNumberFormat="1" applyFont="1" applyFill="1" applyBorder="1"/>
    <xf numFmtId="0" fontId="14" fillId="0" borderId="21" xfId="0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14" fillId="7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0" fillId="19" borderId="1" xfId="0" applyFont="1" applyFill="1" applyBorder="1" applyAlignment="1">
      <alignment horizontal="right" vertical="center" wrapText="1"/>
    </xf>
    <xf numFmtId="0" fontId="13" fillId="19" borderId="1" xfId="0" applyFont="1" applyFill="1" applyBorder="1" applyAlignment="1">
      <alignment horizontal="right" vertical="center"/>
    </xf>
    <xf numFmtId="2" fontId="0" fillId="19" borderId="1" xfId="0" applyNumberFormat="1" applyFill="1" applyBorder="1"/>
    <xf numFmtId="4" fontId="14" fillId="19" borderId="1" xfId="0" applyNumberFormat="1" applyFont="1" applyFill="1" applyBorder="1"/>
    <xf numFmtId="0" fontId="10" fillId="19" borderId="1" xfId="0" applyFont="1" applyFill="1" applyBorder="1" applyAlignment="1">
      <alignment horizontal="right" vertical="center"/>
    </xf>
    <xf numFmtId="0" fontId="14" fillId="19" borderId="1" xfId="0" applyFont="1" applyFill="1" applyBorder="1" applyAlignment="1">
      <alignment horizontal="right" vertical="center"/>
    </xf>
    <xf numFmtId="0" fontId="0" fillId="19" borderId="1" xfId="0" applyFill="1" applyBorder="1"/>
    <xf numFmtId="4" fontId="13" fillId="15" borderId="1" xfId="0" applyNumberFormat="1" applyFont="1" applyFill="1" applyBorder="1" applyAlignment="1">
      <alignment horizontal="right" vertical="center"/>
    </xf>
    <xf numFmtId="0" fontId="14" fillId="0" borderId="22" xfId="0" applyFont="1" applyFill="1" applyBorder="1" applyAlignment="1">
      <alignment wrapText="1"/>
    </xf>
    <xf numFmtId="43" fontId="14" fillId="0" borderId="1" xfId="0" applyNumberFormat="1" applyFont="1" applyFill="1" applyBorder="1"/>
    <xf numFmtId="4" fontId="0" fillId="0" borderId="1" xfId="0" applyNumberFormat="1" applyBorder="1"/>
    <xf numFmtId="0" fontId="10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0" fontId="10" fillId="15" borderId="1" xfId="0" applyFont="1" applyFill="1" applyBorder="1" applyAlignment="1">
      <alignment horizontal="right" vertical="center"/>
    </xf>
    <xf numFmtId="2" fontId="0" fillId="0" borderId="0" xfId="0" applyNumberFormat="1" applyFill="1" applyBorder="1"/>
    <xf numFmtId="2" fontId="13" fillId="0" borderId="0" xfId="0" applyNumberFormat="1" applyFont="1" applyFill="1" applyBorder="1" applyAlignment="1">
      <alignment horizontal="right" vertical="center"/>
    </xf>
    <xf numFmtId="2" fontId="19" fillId="0" borderId="0" xfId="0" applyNumberFormat="1" applyFont="1" applyFill="1" applyBorder="1"/>
    <xf numFmtId="4" fontId="0" fillId="0" borderId="0" xfId="0" applyNumberFormat="1" applyBorder="1"/>
    <xf numFmtId="4" fontId="0" fillId="0" borderId="0" xfId="0" applyNumberFormat="1"/>
    <xf numFmtId="43" fontId="0" fillId="0" borderId="1" xfId="0" applyNumberFormat="1" applyFill="1" applyBorder="1"/>
    <xf numFmtId="2" fontId="2" fillId="0" borderId="1" xfId="0" applyNumberFormat="1" applyFont="1" applyFill="1" applyBorder="1"/>
    <xf numFmtId="0" fontId="13" fillId="18" borderId="0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center"/>
    </xf>
    <xf numFmtId="14" fontId="14" fillId="8" borderId="1" xfId="0" applyNumberFormat="1" applyFont="1" applyFill="1" applyBorder="1" applyAlignment="1">
      <alignment horizontal="center"/>
    </xf>
    <xf numFmtId="0" fontId="8" fillId="20" borderId="1" xfId="0" applyFont="1" applyFill="1" applyBorder="1"/>
    <xf numFmtId="1" fontId="8" fillId="20" borderId="1" xfId="0" applyNumberFormat="1" applyFont="1" applyFill="1" applyBorder="1" applyAlignment="1">
      <alignment horizontal="center"/>
    </xf>
    <xf numFmtId="43" fontId="8" fillId="20" borderId="1" xfId="0" applyNumberFormat="1" applyFont="1" applyFill="1" applyBorder="1" applyAlignment="1">
      <alignment horizontal="right"/>
    </xf>
    <xf numFmtId="0" fontId="8" fillId="24" borderId="1" xfId="0" applyFont="1" applyFill="1" applyBorder="1"/>
    <xf numFmtId="1" fontId="8" fillId="24" borderId="1" xfId="0" applyNumberFormat="1" applyFont="1" applyFill="1" applyBorder="1" applyAlignment="1">
      <alignment horizontal="center"/>
    </xf>
    <xf numFmtId="1" fontId="14" fillId="20" borderId="1" xfId="0" applyNumberFormat="1" applyFont="1" applyFill="1" applyBorder="1" applyAlignment="1">
      <alignment horizontal="center"/>
    </xf>
    <xf numFmtId="0" fontId="1" fillId="25" borderId="3" xfId="0" applyFont="1" applyFill="1" applyBorder="1" applyAlignment="1">
      <alignment horizontal="center" wrapText="1"/>
    </xf>
    <xf numFmtId="0" fontId="2" fillId="25" borderId="1" xfId="0" applyFont="1" applyFill="1" applyBorder="1"/>
    <xf numFmtId="43" fontId="3" fillId="25" borderId="1" xfId="1" applyFont="1" applyFill="1" applyBorder="1"/>
    <xf numFmtId="0" fontId="1" fillId="25" borderId="1" xfId="0" applyFont="1" applyFill="1" applyBorder="1" applyAlignment="1">
      <alignment horizontal="center" wrapText="1"/>
    </xf>
    <xf numFmtId="0" fontId="0" fillId="25" borderId="1" xfId="0" applyFill="1" applyBorder="1"/>
    <xf numFmtId="0" fontId="14" fillId="25" borderId="0" xfId="0" applyFont="1" applyFill="1"/>
    <xf numFmtId="0" fontId="8" fillId="25" borderId="0" xfId="0" applyFont="1" applyFill="1"/>
    <xf numFmtId="0" fontId="0" fillId="25" borderId="0" xfId="0" applyFill="1"/>
    <xf numFmtId="0" fontId="8" fillId="7" borderId="3" xfId="0" applyFont="1" applyFill="1" applyBorder="1" applyAlignment="1">
      <alignment horizontal="center" wrapText="1"/>
    </xf>
    <xf numFmtId="0" fontId="14" fillId="7" borderId="1" xfId="0" applyFont="1" applyFill="1" applyBorder="1"/>
    <xf numFmtId="2" fontId="14" fillId="7" borderId="1" xfId="0" applyNumberFormat="1" applyFont="1" applyFill="1" applyBorder="1"/>
    <xf numFmtId="43" fontId="8" fillId="7" borderId="1" xfId="1" applyFont="1" applyFill="1" applyBorder="1"/>
    <xf numFmtId="0" fontId="8" fillId="7" borderId="1" xfId="0" applyFont="1" applyFill="1" applyBorder="1" applyAlignment="1">
      <alignment horizontal="center" wrapText="1"/>
    </xf>
    <xf numFmtId="0" fontId="14" fillId="7" borderId="0" xfId="0" applyFont="1" applyFill="1"/>
    <xf numFmtId="0" fontId="14" fillId="7" borderId="0" xfId="0" applyFont="1" applyFill="1" applyBorder="1"/>
    <xf numFmtId="0" fontId="13" fillId="7" borderId="0" xfId="0" applyFont="1" applyFill="1" applyBorder="1" applyAlignment="1">
      <alignment horizontal="right" vertical="center" wrapText="1"/>
    </xf>
    <xf numFmtId="0" fontId="14" fillId="7" borderId="0" xfId="0" applyFont="1" applyFill="1" applyBorder="1" applyAlignment="1">
      <alignment horizontal="right" vertical="center" wrapText="1"/>
    </xf>
    <xf numFmtId="0" fontId="0" fillId="7" borderId="0" xfId="0" applyFill="1" applyBorder="1"/>
    <xf numFmtId="0" fontId="0" fillId="7" borderId="0" xfId="0" applyFill="1"/>
    <xf numFmtId="0" fontId="14" fillId="19" borderId="1" xfId="0" applyFont="1" applyFill="1" applyBorder="1"/>
    <xf numFmtId="2" fontId="14" fillId="0" borderId="0" xfId="0" applyNumberFormat="1" applyFont="1" applyFill="1" applyBorder="1"/>
    <xf numFmtId="2" fontId="14" fillId="0" borderId="0" xfId="0" applyNumberFormat="1" applyFont="1" applyFill="1" applyBorder="1" applyAlignment="1">
      <alignment horizontal="right" vertical="center"/>
    </xf>
    <xf numFmtId="0" fontId="8" fillId="26" borderId="3" xfId="0" applyFont="1" applyFill="1" applyBorder="1" applyAlignment="1">
      <alignment horizontal="center" wrapText="1"/>
    </xf>
    <xf numFmtId="0" fontId="14" fillId="26" borderId="1" xfId="0" applyFont="1" applyFill="1" applyBorder="1"/>
    <xf numFmtId="0" fontId="8" fillId="26" borderId="0" xfId="0" applyFont="1" applyFill="1"/>
    <xf numFmtId="0" fontId="14" fillId="26" borderId="3" xfId="0" applyFont="1" applyFill="1" applyBorder="1"/>
    <xf numFmtId="43" fontId="8" fillId="26" borderId="1" xfId="1" applyFont="1" applyFill="1" applyBorder="1"/>
    <xf numFmtId="0" fontId="8" fillId="26" borderId="1" xfId="0" applyFont="1" applyFill="1" applyBorder="1" applyAlignment="1">
      <alignment horizontal="center" wrapText="1"/>
    </xf>
    <xf numFmtId="43" fontId="14" fillId="26" borderId="1" xfId="1" applyFont="1" applyFill="1" applyBorder="1"/>
    <xf numFmtId="43" fontId="14" fillId="26" borderId="1" xfId="0" applyNumberFormat="1" applyFont="1" applyFill="1" applyBorder="1"/>
    <xf numFmtId="0" fontId="14" fillId="26" borderId="0" xfId="0" applyFont="1" applyFill="1"/>
    <xf numFmtId="0" fontId="14" fillId="26" borderId="0" xfId="0" applyFont="1" applyFill="1" applyBorder="1"/>
    <xf numFmtId="0" fontId="0" fillId="26" borderId="0" xfId="0" applyFill="1"/>
    <xf numFmtId="0" fontId="14" fillId="27" borderId="1" xfId="0" applyFont="1" applyFill="1" applyBorder="1" applyAlignment="1">
      <alignment wrapText="1"/>
    </xf>
    <xf numFmtId="0" fontId="13" fillId="7" borderId="0" xfId="0" applyFont="1" applyFill="1" applyBorder="1" applyAlignment="1">
      <alignment horizontal="right" vertical="center"/>
    </xf>
    <xf numFmtId="2" fontId="0" fillId="0" borderId="0" xfId="0" applyNumberFormat="1" applyFill="1"/>
    <xf numFmtId="4" fontId="13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0" fontId="15" fillId="23" borderId="0" xfId="0" applyFont="1" applyFill="1" applyBorder="1" applyAlignment="1">
      <alignment horizontal="right" vertical="center"/>
    </xf>
    <xf numFmtId="4" fontId="14" fillId="0" borderId="0" xfId="0" applyNumberFormat="1" applyFont="1" applyBorder="1"/>
    <xf numFmtId="0" fontId="14" fillId="4" borderId="1" xfId="0" applyFont="1" applyFill="1" applyBorder="1" applyAlignment="1">
      <alignment wrapText="1"/>
    </xf>
    <xf numFmtId="0" fontId="14" fillId="22" borderId="1" xfId="0" applyFont="1" applyFill="1" applyBorder="1"/>
    <xf numFmtId="43" fontId="14" fillId="28" borderId="1" xfId="0" applyNumberFormat="1" applyFont="1" applyFill="1" applyBorder="1"/>
    <xf numFmtId="0" fontId="14" fillId="28" borderId="1" xfId="0" applyFont="1" applyFill="1" applyBorder="1"/>
    <xf numFmtId="0" fontId="8" fillId="28" borderId="1" xfId="0" applyFont="1" applyFill="1" applyBorder="1"/>
    <xf numFmtId="0" fontId="0" fillId="28" borderId="1" xfId="0" applyFill="1" applyBorder="1"/>
    <xf numFmtId="43" fontId="5" fillId="28" borderId="1" xfId="0" applyNumberFormat="1" applyFont="1" applyFill="1" applyBorder="1"/>
    <xf numFmtId="0" fontId="10" fillId="4" borderId="1" xfId="0" applyFont="1" applyFill="1" applyBorder="1" applyAlignment="1">
      <alignment vertical="center"/>
    </xf>
    <xf numFmtId="4" fontId="10" fillId="4" borderId="1" xfId="0" applyNumberFormat="1" applyFont="1" applyFill="1" applyBorder="1" applyAlignment="1">
      <alignment horizontal="right" vertical="center"/>
    </xf>
    <xf numFmtId="0" fontId="0" fillId="4" borderId="1" xfId="0" applyFill="1" applyBorder="1"/>
    <xf numFmtId="0" fontId="14" fillId="4" borderId="1" xfId="0" applyFont="1" applyFill="1" applyBorder="1" applyAlignment="1">
      <alignment horizontal="right" vertical="center"/>
    </xf>
    <xf numFmtId="4" fontId="14" fillId="4" borderId="1" xfId="0" applyNumberFormat="1" applyFont="1" applyFill="1" applyBorder="1"/>
    <xf numFmtId="0" fontId="14" fillId="4" borderId="1" xfId="0" applyFont="1" applyFill="1" applyBorder="1"/>
    <xf numFmtId="4" fontId="16" fillId="4" borderId="1" xfId="0" applyNumberFormat="1" applyFont="1" applyFill="1" applyBorder="1"/>
    <xf numFmtId="0" fontId="13" fillId="4" borderId="1" xfId="0" applyFont="1" applyFill="1" applyBorder="1" applyAlignment="1">
      <alignment horizontal="right" vertical="center"/>
    </xf>
    <xf numFmtId="2" fontId="0" fillId="4" borderId="1" xfId="0" applyNumberFormat="1" applyFill="1" applyBorder="1"/>
    <xf numFmtId="0" fontId="13" fillId="0" borderId="13" xfId="0" applyFont="1" applyBorder="1" applyAlignment="1">
      <alignment horizontal="right" vertical="center"/>
    </xf>
    <xf numFmtId="0" fontId="10" fillId="7" borderId="1" xfId="0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0" fontId="0" fillId="7" borderId="1" xfId="0" applyFill="1" applyBorder="1"/>
    <xf numFmtId="2" fontId="0" fillId="0" borderId="1" xfId="0" applyNumberFormat="1" applyFill="1" applyBorder="1"/>
    <xf numFmtId="0" fontId="15" fillId="0" borderId="1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15" fillId="29" borderId="1" xfId="0" applyFont="1" applyFill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" fontId="21" fillId="0" borderId="1" xfId="0" applyNumberFormat="1" applyFont="1" applyFill="1" applyBorder="1" applyAlignment="1">
      <alignment horizontal="right" vertical="center"/>
    </xf>
    <xf numFmtId="0" fontId="14" fillId="9" borderId="1" xfId="0" applyFont="1" applyFill="1" applyBorder="1"/>
    <xf numFmtId="4" fontId="13" fillId="10" borderId="1" xfId="0" applyNumberFormat="1" applyFont="1" applyFill="1" applyBorder="1" applyAlignment="1">
      <alignment horizontal="right" vertical="center"/>
    </xf>
    <xf numFmtId="43" fontId="8" fillId="0" borderId="1" xfId="1" applyFont="1" applyBorder="1" applyAlignment="1">
      <alignment horizontal="right" vertical="center" wrapText="1"/>
    </xf>
    <xf numFmtId="4" fontId="10" fillId="0" borderId="0" xfId="0" applyNumberFormat="1" applyFont="1" applyFill="1" applyBorder="1" applyAlignment="1">
      <alignment horizontal="right" vertical="center"/>
    </xf>
    <xf numFmtId="43" fontId="14" fillId="0" borderId="1" xfId="1" applyFont="1" applyBorder="1"/>
    <xf numFmtId="0" fontId="8" fillId="0" borderId="23" xfId="0" applyFont="1" applyBorder="1"/>
    <xf numFmtId="43" fontId="14" fillId="0" borderId="24" xfId="1" applyFont="1" applyBorder="1"/>
    <xf numFmtId="0" fontId="14" fillId="0" borderId="25" xfId="0" applyFont="1" applyBorder="1"/>
    <xf numFmtId="43" fontId="14" fillId="0" borderId="26" xfId="0" applyNumberFormat="1" applyFont="1" applyBorder="1"/>
    <xf numFmtId="0" fontId="8" fillId="0" borderId="27" xfId="0" applyFont="1" applyBorder="1"/>
    <xf numFmtId="43" fontId="8" fillId="0" borderId="28" xfId="0" applyNumberFormat="1" applyFont="1" applyBorder="1"/>
    <xf numFmtId="0" fontId="5" fillId="0" borderId="1" xfId="0" applyFont="1" applyBorder="1" applyAlignment="1">
      <alignment wrapText="1"/>
    </xf>
    <xf numFmtId="0" fontId="24" fillId="0" borderId="1" xfId="0" applyFont="1" applyBorder="1"/>
    <xf numFmtId="43" fontId="24" fillId="0" borderId="1" xfId="0" applyNumberFormat="1" applyFont="1" applyBorder="1"/>
    <xf numFmtId="43" fontId="13" fillId="4" borderId="1" xfId="1" applyFont="1" applyFill="1" applyBorder="1" applyAlignment="1">
      <alignment horizontal="right" vertical="center"/>
    </xf>
    <xf numFmtId="2" fontId="0" fillId="26" borderId="0" xfId="0" applyNumberFormat="1" applyFill="1"/>
    <xf numFmtId="4" fontId="15" fillId="0" borderId="1" xfId="0" applyNumberFormat="1" applyFont="1" applyFill="1" applyBorder="1" applyAlignment="1">
      <alignment horizontal="right" vertical="center"/>
    </xf>
    <xf numFmtId="1" fontId="14" fillId="26" borderId="5" xfId="0" applyNumberFormat="1" applyFont="1" applyFill="1" applyBorder="1" applyAlignment="1">
      <alignment horizontal="center"/>
    </xf>
    <xf numFmtId="0" fontId="14" fillId="26" borderId="5" xfId="0" applyFont="1" applyFill="1" applyBorder="1"/>
    <xf numFmtId="0" fontId="14" fillId="26" borderId="29" xfId="0" applyFont="1" applyFill="1" applyBorder="1" applyAlignment="1">
      <alignment horizontal="right"/>
    </xf>
    <xf numFmtId="0" fontId="14" fillId="26" borderId="5" xfId="0" applyFont="1" applyFill="1" applyBorder="1" applyAlignment="1">
      <alignment wrapText="1"/>
    </xf>
    <xf numFmtId="0" fontId="2" fillId="26" borderId="5" xfId="0" applyFont="1" applyFill="1" applyBorder="1"/>
    <xf numFmtId="0" fontId="0" fillId="26" borderId="5" xfId="0" applyFill="1" applyBorder="1"/>
    <xf numFmtId="43" fontId="0" fillId="26" borderId="5" xfId="1" applyFont="1" applyFill="1" applyBorder="1"/>
    <xf numFmtId="0" fontId="14" fillId="0" borderId="3" xfId="0" applyFont="1" applyFill="1" applyBorder="1"/>
    <xf numFmtId="2" fontId="14" fillId="0" borderId="3" xfId="0" applyNumberFormat="1" applyFont="1" applyFill="1" applyBorder="1"/>
    <xf numFmtId="2" fontId="14" fillId="26" borderId="3" xfId="0" applyNumberFormat="1" applyFont="1" applyFill="1" applyBorder="1"/>
    <xf numFmtId="2" fontId="14" fillId="7" borderId="3" xfId="0" applyNumberFormat="1" applyFont="1" applyFill="1" applyBorder="1"/>
    <xf numFmtId="2" fontId="14" fillId="25" borderId="3" xfId="0" applyNumberFormat="1" applyFont="1" applyFill="1" applyBorder="1"/>
    <xf numFmtId="49" fontId="0" fillId="0" borderId="1" xfId="0" applyNumberFormat="1" applyFill="1" applyBorder="1" applyAlignment="1">
      <alignment vertical="top"/>
    </xf>
    <xf numFmtId="2" fontId="0" fillId="0" borderId="1" xfId="0" applyNumberFormat="1" applyFill="1" applyBorder="1" applyAlignment="1">
      <alignment vertical="top"/>
    </xf>
    <xf numFmtId="0" fontId="0" fillId="0" borderId="0" xfId="0" applyFill="1" applyAlignment="1">
      <alignment horizontal="center"/>
    </xf>
    <xf numFmtId="0" fontId="14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left"/>
    </xf>
    <xf numFmtId="0" fontId="2" fillId="0" borderId="3" xfId="0" applyFont="1" applyFill="1" applyBorder="1"/>
    <xf numFmtId="0" fontId="0" fillId="0" borderId="3" xfId="0" applyFill="1" applyBorder="1"/>
    <xf numFmtId="43" fontId="0" fillId="0" borderId="3" xfId="1" applyFont="1" applyFill="1" applyBorder="1"/>
    <xf numFmtId="0" fontId="26" fillId="0" borderId="20" xfId="0" applyFont="1" applyBorder="1" applyAlignment="1">
      <alignment horizontal="justify" vertical="center" wrapText="1"/>
    </xf>
    <xf numFmtId="0" fontId="26" fillId="0" borderId="13" xfId="0" applyFont="1" applyBorder="1" applyAlignment="1">
      <alignment horizontal="justify" vertical="center" wrapText="1"/>
    </xf>
    <xf numFmtId="0" fontId="13" fillId="0" borderId="17" xfId="0" applyFont="1" applyBorder="1" applyAlignment="1">
      <alignment vertical="center"/>
    </xf>
    <xf numFmtId="0" fontId="13" fillId="0" borderId="13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justify" vertical="center"/>
    </xf>
    <xf numFmtId="0" fontId="6" fillId="16" borderId="19" xfId="0" applyFont="1" applyFill="1" applyBorder="1" applyAlignment="1">
      <alignment vertical="center"/>
    </xf>
    <xf numFmtId="0" fontId="6" fillId="16" borderId="17" xfId="0" applyFont="1" applyFill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4" fontId="8" fillId="0" borderId="13" xfId="0" applyNumberFormat="1" applyFont="1" applyBorder="1" applyAlignment="1">
      <alignment horizontal="right" vertical="center" wrapText="1"/>
    </xf>
    <xf numFmtId="0" fontId="15" fillId="30" borderId="17" xfId="0" applyFont="1" applyFill="1" applyBorder="1" applyAlignment="1">
      <alignment vertical="center" wrapText="1"/>
    </xf>
    <xf numFmtId="0" fontId="13" fillId="31" borderId="13" xfId="0" applyFont="1" applyFill="1" applyBorder="1" applyAlignment="1">
      <alignment horizontal="right" vertical="center" wrapText="1"/>
    </xf>
    <xf numFmtId="0" fontId="8" fillId="0" borderId="19" xfId="0" applyFont="1" applyBorder="1" applyAlignment="1">
      <alignment vertical="center" wrapText="1"/>
    </xf>
    <xf numFmtId="4" fontId="15" fillId="0" borderId="20" xfId="0" applyNumberFormat="1" applyFont="1" applyBorder="1" applyAlignment="1">
      <alignment horizontal="right" vertical="center" wrapText="1"/>
    </xf>
    <xf numFmtId="4" fontId="15" fillId="0" borderId="20" xfId="0" applyNumberFormat="1" applyFont="1" applyBorder="1" applyAlignment="1">
      <alignment horizontal="right" vertical="center"/>
    </xf>
    <xf numFmtId="0" fontId="19" fillId="0" borderId="13" xfId="0" applyFont="1" applyBorder="1"/>
    <xf numFmtId="0" fontId="15" fillId="32" borderId="17" xfId="0" applyFont="1" applyFill="1" applyBorder="1" applyAlignment="1">
      <alignment vertical="center" wrapText="1"/>
    </xf>
    <xf numFmtId="4" fontId="21" fillId="32" borderId="13" xfId="0" applyNumberFormat="1" applyFont="1" applyFill="1" applyBorder="1" applyAlignment="1">
      <alignment horizontal="right" vertical="center" wrapText="1"/>
    </xf>
    <xf numFmtId="4" fontId="13" fillId="0" borderId="13" xfId="0" applyNumberFormat="1" applyFont="1" applyBorder="1" applyAlignment="1">
      <alignment horizontal="right" vertical="center"/>
    </xf>
    <xf numFmtId="0" fontId="24" fillId="0" borderId="17" xfId="0" applyFont="1" applyBorder="1" applyAlignment="1">
      <alignment vertical="center"/>
    </xf>
    <xf numFmtId="4" fontId="24" fillId="0" borderId="13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" fontId="14" fillId="28" borderId="5" xfId="0" applyNumberFormat="1" applyFont="1" applyFill="1" applyBorder="1" applyAlignment="1">
      <alignment horizontal="center"/>
    </xf>
    <xf numFmtId="0" fontId="14" fillId="28" borderId="5" xfId="0" applyFont="1" applyFill="1" applyBorder="1"/>
    <xf numFmtId="0" fontId="14" fillId="28" borderId="5" xfId="0" applyFont="1" applyFill="1" applyBorder="1" applyAlignment="1">
      <alignment horizontal="left"/>
    </xf>
    <xf numFmtId="0" fontId="14" fillId="28" borderId="29" xfId="0" applyFont="1" applyFill="1" applyBorder="1" applyAlignment="1">
      <alignment horizontal="right"/>
    </xf>
    <xf numFmtId="0" fontId="14" fillId="28" borderId="5" xfId="0" applyFont="1" applyFill="1" applyBorder="1" applyAlignment="1">
      <alignment horizontal="right"/>
    </xf>
    <xf numFmtId="0" fontId="14" fillId="28" borderId="5" xfId="0" applyFont="1" applyFill="1" applyBorder="1" applyAlignment="1">
      <alignment wrapText="1"/>
    </xf>
    <xf numFmtId="0" fontId="2" fillId="28" borderId="5" xfId="0" applyFont="1" applyFill="1" applyBorder="1"/>
    <xf numFmtId="0" fontId="0" fillId="28" borderId="5" xfId="0" applyFill="1" applyBorder="1"/>
    <xf numFmtId="43" fontId="0" fillId="28" borderId="5" xfId="1" applyFont="1" applyFill="1" applyBorder="1"/>
    <xf numFmtId="2" fontId="0" fillId="28" borderId="0" xfId="0" applyNumberFormat="1" applyFill="1"/>
    <xf numFmtId="0" fontId="0" fillId="28" borderId="0" xfId="0" applyFill="1"/>
    <xf numFmtId="49" fontId="25" fillId="28" borderId="1" xfId="0" applyNumberFormat="1" applyFont="1" applyFill="1" applyBorder="1" applyAlignment="1">
      <alignment horizontal="center" vertical="top"/>
    </xf>
    <xf numFmtId="49" fontId="0" fillId="28" borderId="1" xfId="0" applyNumberFormat="1" applyFill="1" applyBorder="1" applyAlignment="1">
      <alignment vertical="top"/>
    </xf>
    <xf numFmtId="49" fontId="19" fillId="28" borderId="1" xfId="0" applyNumberFormat="1" applyFont="1" applyFill="1" applyBorder="1" applyAlignment="1">
      <alignment horizontal="left" vertical="top"/>
    </xf>
    <xf numFmtId="0" fontId="14" fillId="28" borderId="1" xfId="0" applyFont="1" applyFill="1" applyBorder="1" applyAlignment="1">
      <alignment horizontal="right"/>
    </xf>
    <xf numFmtId="0" fontId="0" fillId="28" borderId="1" xfId="0" applyFill="1" applyBorder="1" applyAlignment="1">
      <alignment horizontal="right"/>
    </xf>
    <xf numFmtId="0" fontId="14" fillId="28" borderId="1" xfId="0" applyFont="1" applyFill="1" applyBorder="1" applyAlignment="1">
      <alignment wrapText="1"/>
    </xf>
    <xf numFmtId="2" fontId="0" fillId="28" borderId="1" xfId="0" applyNumberFormat="1" applyFill="1" applyBorder="1" applyAlignment="1">
      <alignment vertical="top"/>
    </xf>
    <xf numFmtId="2" fontId="14" fillId="28" borderId="1" xfId="0" applyNumberFormat="1" applyFont="1" applyFill="1" applyBorder="1"/>
    <xf numFmtId="0" fontId="2" fillId="28" borderId="1" xfId="0" applyFont="1" applyFill="1" applyBorder="1"/>
    <xf numFmtId="43" fontId="0" fillId="28" borderId="1" xfId="1" applyFont="1" applyFill="1" applyBorder="1"/>
    <xf numFmtId="2" fontId="0" fillId="28" borderId="1" xfId="0" applyNumberFormat="1" applyFill="1" applyBorder="1"/>
    <xf numFmtId="0" fontId="13" fillId="12" borderId="20" xfId="0" applyFont="1" applyFill="1" applyBorder="1" applyAlignment="1">
      <alignment horizontal="right" vertical="center" wrapText="1"/>
    </xf>
    <xf numFmtId="1" fontId="8" fillId="28" borderId="0" xfId="0" applyNumberFormat="1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right"/>
    </xf>
    <xf numFmtId="0" fontId="13" fillId="7" borderId="0" xfId="0" applyFont="1" applyFill="1" applyBorder="1" applyAlignment="1">
      <alignment horizontal="right" vertical="center" wrapText="1"/>
    </xf>
    <xf numFmtId="0" fontId="30" fillId="0" borderId="1" xfId="0" applyFont="1" applyBorder="1" applyAlignment="1">
      <alignment vertical="top"/>
    </xf>
    <xf numFmtId="49" fontId="25" fillId="28" borderId="36" xfId="0" applyNumberFormat="1" applyFont="1" applyFill="1" applyBorder="1" applyAlignment="1">
      <alignment horizontal="center" vertical="top"/>
    </xf>
    <xf numFmtId="49" fontId="25" fillId="0" borderId="37" xfId="0" applyNumberFormat="1" applyFont="1" applyFill="1" applyBorder="1" applyAlignment="1">
      <alignment horizontal="center" vertical="top"/>
    </xf>
    <xf numFmtId="1" fontId="14" fillId="0" borderId="37" xfId="0" applyNumberFormat="1" applyFont="1" applyFill="1" applyBorder="1" applyAlignment="1">
      <alignment horizontal="center"/>
    </xf>
    <xf numFmtId="0" fontId="14" fillId="0" borderId="21" xfId="0" applyFont="1" applyFill="1" applyBorder="1"/>
    <xf numFmtId="0" fontId="29" fillId="0" borderId="1" xfId="0" applyFont="1" applyFill="1" applyBorder="1" applyAlignment="1">
      <alignment vertical="top"/>
    </xf>
    <xf numFmtId="49" fontId="30" fillId="0" borderId="1" xfId="0" applyNumberFormat="1" applyFont="1" applyBorder="1" applyAlignment="1">
      <alignment vertical="top"/>
    </xf>
    <xf numFmtId="0" fontId="14" fillId="0" borderId="1" xfId="0" applyFont="1" applyFill="1" applyBorder="1" applyAlignment="1">
      <alignment horizontal="left"/>
    </xf>
    <xf numFmtId="49" fontId="30" fillId="0" borderId="1" xfId="0" applyNumberFormat="1" applyFont="1" applyBorder="1" applyAlignment="1">
      <alignment horizontal="right" vertical="top"/>
    </xf>
    <xf numFmtId="49" fontId="31" fillId="28" borderId="37" xfId="0" applyNumberFormat="1" applyFont="1" applyFill="1" applyBorder="1" applyAlignment="1">
      <alignment horizontal="center" vertical="top"/>
    </xf>
    <xf numFmtId="49" fontId="0" fillId="28" borderId="1" xfId="0" applyNumberFormat="1" applyFont="1" applyFill="1" applyBorder="1" applyAlignment="1">
      <alignment vertical="top"/>
    </xf>
    <xf numFmtId="0" fontId="31" fillId="28" borderId="1" xfId="0" applyFont="1" applyFill="1" applyBorder="1" applyAlignment="1">
      <alignment vertical="top"/>
    </xf>
    <xf numFmtId="49" fontId="31" fillId="28" borderId="1" xfId="0" applyNumberFormat="1" applyFont="1" applyFill="1" applyBorder="1" applyAlignment="1">
      <alignment vertical="top"/>
    </xf>
    <xf numFmtId="49" fontId="0" fillId="28" borderId="1" xfId="0" applyNumberFormat="1" applyFont="1" applyFill="1" applyBorder="1" applyAlignment="1">
      <alignment horizontal="right"/>
    </xf>
    <xf numFmtId="0" fontId="0" fillId="28" borderId="1" xfId="0" applyFont="1" applyFill="1" applyBorder="1"/>
    <xf numFmtId="0" fontId="14" fillId="28" borderId="3" xfId="0" applyFont="1" applyFill="1" applyBorder="1"/>
    <xf numFmtId="2" fontId="14" fillId="28" borderId="3" xfId="0" applyNumberFormat="1" applyFont="1" applyFill="1" applyBorder="1"/>
    <xf numFmtId="0" fontId="2" fillId="28" borderId="3" xfId="0" applyFont="1" applyFill="1" applyBorder="1"/>
    <xf numFmtId="0" fontId="0" fillId="28" borderId="3" xfId="0" applyFont="1" applyFill="1" applyBorder="1"/>
    <xf numFmtId="43" fontId="4" fillId="28" borderId="3" xfId="1" applyFont="1" applyFill="1" applyBorder="1"/>
    <xf numFmtId="2" fontId="0" fillId="28" borderId="0" xfId="0" applyNumberFormat="1" applyFont="1" applyFill="1" applyBorder="1"/>
    <xf numFmtId="0" fontId="0" fillId="28" borderId="0" xfId="0" applyFont="1" applyFill="1" applyBorder="1"/>
    <xf numFmtId="2" fontId="14" fillId="0" borderId="1" xfId="0" applyNumberFormat="1" applyFont="1" applyFill="1" applyBorder="1" applyAlignment="1">
      <alignment horizontal="right"/>
    </xf>
    <xf numFmtId="2" fontId="14" fillId="19" borderId="1" xfId="0" applyNumberFormat="1" applyFont="1" applyFill="1" applyBorder="1"/>
    <xf numFmtId="43" fontId="14" fillId="0" borderId="0" xfId="0" applyNumberFormat="1" applyFont="1" applyBorder="1"/>
    <xf numFmtId="0" fontId="14" fillId="2" borderId="1" xfId="0" applyFont="1" applyFill="1" applyBorder="1" applyAlignment="1">
      <alignment horizontal="right"/>
    </xf>
    <xf numFmtId="0" fontId="14" fillId="2" borderId="22" xfId="0" applyFont="1" applyFill="1" applyBorder="1" applyAlignment="1">
      <alignment horizontal="right"/>
    </xf>
    <xf numFmtId="0" fontId="14" fillId="26" borderId="5" xfId="0" applyFont="1" applyFill="1" applyBorder="1" applyAlignment="1">
      <alignment horizontal="right"/>
    </xf>
    <xf numFmtId="0" fontId="15" fillId="0" borderId="0" xfId="0" applyFont="1" applyAlignment="1">
      <alignment horizontal="right" vertical="center"/>
    </xf>
    <xf numFmtId="0" fontId="13" fillId="0" borderId="6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 wrapText="1"/>
    </xf>
    <xf numFmtId="0" fontId="14" fillId="0" borderId="0" xfId="0" applyFont="1" applyFill="1" applyAlignment="1">
      <alignment horizontal="right"/>
    </xf>
    <xf numFmtId="43" fontId="14" fillId="0" borderId="0" xfId="0" applyNumberFormat="1" applyFont="1" applyFill="1" applyAlignment="1">
      <alignment horizontal="right"/>
    </xf>
    <xf numFmtId="43" fontId="16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2" fillId="0" borderId="0" xfId="0" applyFont="1" applyAlignment="1">
      <alignment wrapText="1"/>
    </xf>
    <xf numFmtId="43" fontId="0" fillId="0" borderId="1" xfId="0" applyNumberFormat="1" applyBorder="1"/>
    <xf numFmtId="0" fontId="3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  <xf numFmtId="164" fontId="14" fillId="0" borderId="1" xfId="0" applyNumberFormat="1" applyFont="1" applyFill="1" applyBorder="1"/>
    <xf numFmtId="2" fontId="14" fillId="28" borderId="5" xfId="0" applyNumberFormat="1" applyFont="1" applyFill="1" applyBorder="1"/>
    <xf numFmtId="2" fontId="0" fillId="28" borderId="1" xfId="0" applyNumberFormat="1" applyFont="1" applyFill="1" applyBorder="1" applyAlignment="1">
      <alignment vertical="top"/>
    </xf>
    <xf numFmtId="14" fontId="14" fillId="0" borderId="1" xfId="0" applyNumberFormat="1" applyFont="1" applyFill="1" applyBorder="1" applyAlignment="1">
      <alignment vertical="center"/>
    </xf>
    <xf numFmtId="14" fontId="0" fillId="0" borderId="0" xfId="0" applyNumberFormat="1" applyFill="1" applyAlignment="1">
      <alignment vertical="center"/>
    </xf>
    <xf numFmtId="14" fontId="14" fillId="26" borderId="5" xfId="0" applyNumberFormat="1" applyFont="1" applyFill="1" applyBorder="1" applyAlignment="1">
      <alignment vertical="center"/>
    </xf>
    <xf numFmtId="14" fontId="14" fillId="28" borderId="5" xfId="0" applyNumberFormat="1" applyFont="1" applyFill="1" applyBorder="1" applyAlignment="1">
      <alignment vertical="center"/>
    </xf>
    <xf numFmtId="14" fontId="14" fillId="28" borderId="1" xfId="0" applyNumberFormat="1" applyFont="1" applyFill="1" applyBorder="1" applyAlignment="1">
      <alignment vertical="center"/>
    </xf>
    <xf numFmtId="14" fontId="14" fillId="28" borderId="3" xfId="0" applyNumberFormat="1" applyFont="1" applyFill="1" applyBorder="1" applyAlignment="1">
      <alignment vertical="center"/>
    </xf>
    <xf numFmtId="14" fontId="14" fillId="0" borderId="3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28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4" fontId="14" fillId="2" borderId="1" xfId="0" applyNumberFormat="1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0" fontId="8" fillId="24" borderId="1" xfId="0" applyFont="1" applyFill="1" applyBorder="1" applyAlignment="1">
      <alignment vertical="center"/>
    </xf>
    <xf numFmtId="0" fontId="8" fillId="2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17" fontId="0" fillId="0" borderId="1" xfId="0" applyNumberFormat="1" applyBorder="1"/>
    <xf numFmtId="0" fontId="13" fillId="7" borderId="0" xfId="0" applyFont="1" applyFill="1" applyBorder="1" applyAlignment="1">
      <alignment horizontal="right" vertical="center" wrapText="1"/>
    </xf>
    <xf numFmtId="0" fontId="13" fillId="18" borderId="0" xfId="0" applyFont="1" applyFill="1" applyBorder="1" applyAlignment="1">
      <alignment horizontal="right" vertical="center" wrapText="1"/>
    </xf>
    <xf numFmtId="0" fontId="15" fillId="16" borderId="16" xfId="0" applyFont="1" applyFill="1" applyBorder="1" applyAlignment="1">
      <alignment vertical="center"/>
    </xf>
    <xf numFmtId="0" fontId="14" fillId="19" borderId="5" xfId="0" applyFont="1" applyFill="1" applyBorder="1"/>
    <xf numFmtId="0" fontId="14" fillId="19" borderId="21" xfId="0" applyFont="1" applyFill="1" applyBorder="1"/>
    <xf numFmtId="4" fontId="15" fillId="0" borderId="0" xfId="0" applyNumberFormat="1" applyFont="1" applyFill="1" applyBorder="1" applyAlignment="1">
      <alignment horizontal="right" vertical="center" wrapText="1"/>
    </xf>
    <xf numFmtId="0" fontId="35" fillId="0" borderId="1" xfId="0" applyFont="1" applyFill="1" applyBorder="1" applyAlignment="1">
      <alignment horizontal="right"/>
    </xf>
    <xf numFmtId="0" fontId="35" fillId="0" borderId="0" xfId="0" applyFont="1" applyAlignment="1">
      <alignment horizontal="right"/>
    </xf>
    <xf numFmtId="0" fontId="35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wrapText="1"/>
    </xf>
    <xf numFmtId="0" fontId="35" fillId="0" borderId="1" xfId="0" applyFont="1" applyFill="1" applyBorder="1"/>
    <xf numFmtId="49" fontId="35" fillId="0" borderId="1" xfId="0" applyNumberFormat="1" applyFont="1" applyFill="1" applyBorder="1" applyAlignment="1">
      <alignment horizontal="right" vertical="top"/>
    </xf>
    <xf numFmtId="0" fontId="30" fillId="0" borderId="1" xfId="0" applyFont="1" applyFill="1" applyBorder="1" applyAlignment="1">
      <alignment vertical="top"/>
    </xf>
    <xf numFmtId="0" fontId="36" fillId="21" borderId="1" xfId="0" applyFont="1" applyFill="1" applyBorder="1" applyAlignment="1">
      <alignment horizontal="center" wrapText="1"/>
    </xf>
    <xf numFmtId="0" fontId="40" fillId="11" borderId="38" xfId="0" applyFont="1" applyFill="1" applyBorder="1" applyAlignment="1">
      <alignment horizontal="left" wrapText="1"/>
    </xf>
    <xf numFmtId="0" fontId="40" fillId="11" borderId="21" xfId="0" applyFont="1" applyFill="1" applyBorder="1" applyAlignment="1">
      <alignment horizontal="left" wrapText="1"/>
    </xf>
    <xf numFmtId="166" fontId="40" fillId="11" borderId="0" xfId="1" applyNumberFormat="1" applyFont="1" applyFill="1" applyBorder="1" applyAlignment="1">
      <alignment horizontal="right"/>
    </xf>
    <xf numFmtId="166" fontId="40" fillId="0" borderId="0" xfId="1" applyNumberFormat="1" applyFont="1" applyBorder="1" applyAlignment="1">
      <alignment horizontal="right"/>
    </xf>
    <xf numFmtId="166" fontId="40" fillId="0" borderId="39" xfId="1" applyNumberFormat="1" applyFont="1" applyBorder="1" applyAlignment="1">
      <alignment horizontal="right"/>
    </xf>
    <xf numFmtId="165" fontId="40" fillId="0" borderId="0" xfId="1" applyNumberFormat="1" applyFont="1" applyBorder="1" applyAlignment="1">
      <alignment horizontal="right"/>
    </xf>
    <xf numFmtId="165" fontId="40" fillId="0" borderId="39" xfId="1" applyNumberFormat="1" applyFont="1" applyBorder="1" applyAlignment="1">
      <alignment horizontal="right"/>
    </xf>
    <xf numFmtId="165" fontId="41" fillId="0" borderId="40" xfId="1" applyNumberFormat="1" applyFont="1" applyBorder="1" applyAlignment="1">
      <alignment horizontal="right"/>
    </xf>
    <xf numFmtId="0" fontId="32" fillId="7" borderId="1" xfId="0" applyFont="1" applyFill="1" applyBorder="1" applyAlignment="1">
      <alignment horizontal="center" wrapText="1"/>
    </xf>
    <xf numFmtId="14" fontId="36" fillId="0" borderId="3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wrapText="1"/>
    </xf>
    <xf numFmtId="14" fontId="14" fillId="33" borderId="1" xfId="0" applyNumberFormat="1" applyFont="1" applyFill="1" applyBorder="1" applyAlignment="1">
      <alignment vertical="center"/>
    </xf>
    <xf numFmtId="0" fontId="8" fillId="33" borderId="1" xfId="0" applyFont="1" applyFill="1" applyBorder="1" applyAlignment="1">
      <alignment horizontal="center"/>
    </xf>
    <xf numFmtId="0" fontId="14" fillId="33" borderId="1" xfId="0" applyFont="1" applyFill="1" applyBorder="1"/>
    <xf numFmtId="0" fontId="8" fillId="28" borderId="1" xfId="0" applyFont="1" applyFill="1" applyBorder="1" applyAlignment="1">
      <alignment horizontal="center"/>
    </xf>
    <xf numFmtId="43" fontId="14" fillId="28" borderId="1" xfId="1" applyFont="1" applyFill="1" applyBorder="1"/>
    <xf numFmtId="1" fontId="14" fillId="28" borderId="1" xfId="0" applyNumberFormat="1" applyFont="1" applyFill="1" applyBorder="1" applyAlignment="1">
      <alignment horizontal="center"/>
    </xf>
    <xf numFmtId="43" fontId="14" fillId="33" borderId="5" xfId="1" applyFont="1" applyFill="1" applyBorder="1"/>
    <xf numFmtId="43" fontId="8" fillId="2" borderId="3" xfId="0" applyNumberFormat="1" applyFont="1" applyFill="1" applyBorder="1" applyAlignment="1">
      <alignment horizontal="right"/>
    </xf>
    <xf numFmtId="43" fontId="14" fillId="28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33" borderId="1" xfId="0" applyFont="1" applyFill="1" applyBorder="1" applyAlignment="1">
      <alignment horizontal="right" vertical="center" wrapText="1"/>
    </xf>
    <xf numFmtId="4" fontId="13" fillId="33" borderId="1" xfId="0" applyNumberFormat="1" applyFont="1" applyFill="1" applyBorder="1" applyAlignment="1">
      <alignment horizontal="right" vertical="center" wrapText="1"/>
    </xf>
    <xf numFmtId="0" fontId="13" fillId="28" borderId="1" xfId="0" applyFont="1" applyFill="1" applyBorder="1" applyAlignment="1">
      <alignment horizontal="right" vertical="center" wrapText="1"/>
    </xf>
    <xf numFmtId="43" fontId="0" fillId="28" borderId="1" xfId="0" applyNumberFormat="1" applyFill="1" applyBorder="1"/>
    <xf numFmtId="0" fontId="13" fillId="10" borderId="1" xfId="0" applyFont="1" applyFill="1" applyBorder="1" applyAlignment="1">
      <alignment horizontal="right" vertical="center" wrapText="1"/>
    </xf>
    <xf numFmtId="4" fontId="13" fillId="1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/>
    </xf>
    <xf numFmtId="0" fontId="15" fillId="33" borderId="1" xfId="0" applyFont="1" applyFill="1" applyBorder="1" applyAlignment="1">
      <alignment horizontal="right" vertical="center"/>
    </xf>
    <xf numFmtId="0" fontId="15" fillId="10" borderId="1" xfId="0" applyFont="1" applyFill="1" applyBorder="1" applyAlignment="1">
      <alignment horizontal="right" vertical="center"/>
    </xf>
    <xf numFmtId="0" fontId="15" fillId="28" borderId="1" xfId="0" applyFont="1" applyFill="1" applyBorder="1" applyAlignment="1">
      <alignment horizontal="right" vertical="center"/>
    </xf>
    <xf numFmtId="1" fontId="8" fillId="28" borderId="1" xfId="0" applyNumberFormat="1" applyFont="1" applyFill="1" applyBorder="1" applyAlignment="1">
      <alignment horizontal="center"/>
    </xf>
    <xf numFmtId="0" fontId="14" fillId="28" borderId="1" xfId="0" applyFont="1" applyFill="1" applyBorder="1" applyAlignment="1">
      <alignment vertical="center"/>
    </xf>
    <xf numFmtId="0" fontId="8" fillId="8" borderId="5" xfId="0" applyFont="1" applyFill="1" applyBorder="1" applyAlignment="1">
      <alignment horizontal="right"/>
    </xf>
    <xf numFmtId="0" fontId="8" fillId="3" borderId="1" xfId="0" applyFont="1" applyFill="1" applyBorder="1" applyAlignment="1">
      <alignment vertic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0" fontId="8" fillId="3" borderId="5" xfId="0" applyFont="1" applyFill="1" applyBorder="1" applyAlignment="1">
      <alignment horizontal="right"/>
    </xf>
    <xf numFmtId="0" fontId="13" fillId="0" borderId="13" xfId="0" applyFont="1" applyBorder="1" applyAlignment="1">
      <alignment vertical="center"/>
    </xf>
    <xf numFmtId="0" fontId="14" fillId="0" borderId="5" xfId="0" applyFont="1" applyFill="1" applyBorder="1"/>
    <xf numFmtId="1" fontId="14" fillId="28" borderId="1" xfId="0" applyNumberFormat="1" applyFont="1" applyFill="1" applyBorder="1" applyAlignment="1">
      <alignment horizontal="left"/>
    </xf>
    <xf numFmtId="0" fontId="14" fillId="28" borderId="1" xfId="0" applyFont="1" applyFill="1" applyBorder="1" applyAlignment="1">
      <alignment horizontal="center"/>
    </xf>
    <xf numFmtId="0" fontId="8" fillId="28" borderId="1" xfId="0" applyFont="1" applyFill="1" applyBorder="1" applyAlignment="1">
      <alignment horizontal="left"/>
    </xf>
    <xf numFmtId="14" fontId="14" fillId="28" borderId="1" xfId="0" applyNumberFormat="1" applyFont="1" applyFill="1" applyBorder="1" applyAlignment="1">
      <alignment horizontal="center"/>
    </xf>
    <xf numFmtId="0" fontId="8" fillId="28" borderId="23" xfId="0" applyFont="1" applyFill="1" applyBorder="1" applyAlignment="1">
      <alignment vertical="center"/>
    </xf>
    <xf numFmtId="1" fontId="8" fillId="28" borderId="41" xfId="0" applyNumberFormat="1" applyFont="1" applyFill="1" applyBorder="1" applyAlignment="1">
      <alignment horizontal="center"/>
    </xf>
    <xf numFmtId="0" fontId="8" fillId="28" borderId="41" xfId="0" applyFont="1" applyFill="1" applyBorder="1"/>
    <xf numFmtId="0" fontId="8" fillId="28" borderId="24" xfId="0" applyFont="1" applyFill="1" applyBorder="1" applyAlignment="1">
      <alignment horizontal="right"/>
    </xf>
    <xf numFmtId="14" fontId="14" fillId="28" borderId="25" xfId="0" applyNumberFormat="1" applyFont="1" applyFill="1" applyBorder="1" applyAlignment="1">
      <alignment vertical="center"/>
    </xf>
    <xf numFmtId="43" fontId="14" fillId="28" borderId="26" xfId="1" applyFont="1" applyFill="1" applyBorder="1"/>
    <xf numFmtId="0" fontId="14" fillId="28" borderId="25" xfId="0" applyFont="1" applyFill="1" applyBorder="1" applyAlignment="1">
      <alignment vertical="center"/>
    </xf>
    <xf numFmtId="0" fontId="14" fillId="28" borderId="26" xfId="0" applyFont="1" applyFill="1" applyBorder="1" applyAlignment="1">
      <alignment horizontal="right"/>
    </xf>
    <xf numFmtId="0" fontId="8" fillId="28" borderId="42" xfId="0" applyFont="1" applyFill="1" applyBorder="1" applyAlignment="1">
      <alignment vertical="center"/>
    </xf>
    <xf numFmtId="1" fontId="8" fillId="28" borderId="43" xfId="0" applyNumberFormat="1" applyFont="1" applyFill="1" applyBorder="1" applyAlignment="1">
      <alignment horizontal="center"/>
    </xf>
    <xf numFmtId="0" fontId="8" fillId="28" borderId="43" xfId="0" applyFont="1" applyFill="1" applyBorder="1"/>
    <xf numFmtId="0" fontId="0" fillId="28" borderId="0" xfId="0" applyFont="1" applyFill="1" applyBorder="1" applyAlignment="1">
      <alignment horizontal="center"/>
    </xf>
    <xf numFmtId="0" fontId="8" fillId="28" borderId="25" xfId="0" applyFont="1" applyFill="1" applyBorder="1" applyAlignment="1">
      <alignment vertical="center"/>
    </xf>
    <xf numFmtId="0" fontId="8" fillId="28" borderId="44" xfId="0" applyFont="1" applyFill="1" applyBorder="1" applyAlignment="1">
      <alignment horizontal="right"/>
    </xf>
    <xf numFmtId="43" fontId="14" fillId="28" borderId="26" xfId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6" borderId="0" xfId="0" applyFont="1" applyFill="1"/>
    <xf numFmtId="0" fontId="5" fillId="26" borderId="0" xfId="0" applyFont="1" applyFill="1"/>
    <xf numFmtId="0" fontId="5" fillId="7" borderId="0" xfId="0" applyFont="1" applyFill="1"/>
    <xf numFmtId="0" fontId="5" fillId="25" borderId="0" xfId="0" applyFont="1" applyFill="1"/>
    <xf numFmtId="14" fontId="14" fillId="3" borderId="1" xfId="0" applyNumberFormat="1" applyFont="1" applyFill="1" applyBorder="1" applyAlignment="1">
      <alignment vertical="center"/>
    </xf>
    <xf numFmtId="1" fontId="14" fillId="3" borderId="1" xfId="0" applyNumberFormat="1" applyFont="1" applyFill="1" applyBorder="1" applyAlignment="1">
      <alignment horizontal="center"/>
    </xf>
    <xf numFmtId="43" fontId="14" fillId="3" borderId="1" xfId="1" applyFont="1" applyFill="1" applyBorder="1"/>
    <xf numFmtId="0" fontId="14" fillId="0" borderId="36" xfId="0" applyFont="1" applyFill="1" applyBorder="1"/>
    <xf numFmtId="0" fontId="14" fillId="0" borderId="36" xfId="0" applyFont="1" applyFill="1" applyBorder="1" applyAlignment="1">
      <alignment horizontal="right"/>
    </xf>
    <xf numFmtId="0" fontId="8" fillId="6" borderId="0" xfId="0" applyFont="1" applyFill="1" applyBorder="1" applyAlignment="1">
      <alignment horizontal="center" wrapText="1"/>
    </xf>
    <xf numFmtId="43" fontId="14" fillId="0" borderId="0" xfId="0" applyNumberFormat="1" applyFont="1" applyFill="1" applyBorder="1" applyAlignment="1">
      <alignment horizontal="right"/>
    </xf>
    <xf numFmtId="43" fontId="1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/>
    </xf>
    <xf numFmtId="14" fontId="14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43" fontId="8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4" fontId="1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3" fontId="8" fillId="0" borderId="0" xfId="0" applyNumberFormat="1" applyFont="1" applyFill="1" applyBorder="1"/>
    <xf numFmtId="0" fontId="5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vertical="center"/>
    </xf>
    <xf numFmtId="43" fontId="13" fillId="0" borderId="0" xfId="1" applyFont="1" applyFill="1" applyBorder="1" applyAlignment="1">
      <alignment horizontal="right" vertical="center"/>
    </xf>
    <xf numFmtId="0" fontId="24" fillId="0" borderId="0" xfId="0" applyFont="1" applyFill="1" applyBorder="1"/>
    <xf numFmtId="43" fontId="24" fillId="0" borderId="0" xfId="0" applyNumberFormat="1" applyFont="1" applyFill="1" applyBorder="1"/>
    <xf numFmtId="0" fontId="14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43" fontId="5" fillId="0" borderId="0" xfId="0" applyNumberFormat="1" applyFont="1" applyFill="1" applyBorder="1"/>
    <xf numFmtId="0" fontId="10" fillId="0" borderId="0" xfId="0" applyFont="1" applyFill="1" applyBorder="1" applyAlignment="1">
      <alignment horizontal="right" vertical="center" wrapText="1"/>
    </xf>
    <xf numFmtId="4" fontId="16" fillId="0" borderId="0" xfId="0" applyNumberFormat="1" applyFont="1" applyFill="1" applyBorder="1"/>
    <xf numFmtId="0" fontId="0" fillId="0" borderId="0" xfId="0" applyFill="1" applyBorder="1" applyAlignment="1">
      <alignment wrapText="1"/>
    </xf>
    <xf numFmtId="43" fontId="8" fillId="0" borderId="0" xfId="1" applyFont="1" applyFill="1" applyBorder="1"/>
    <xf numFmtId="4" fontId="21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wrapText="1"/>
    </xf>
    <xf numFmtId="43" fontId="3" fillId="0" borderId="0" xfId="1" applyFont="1" applyFill="1" applyBorder="1"/>
    <xf numFmtId="0" fontId="8" fillId="0" borderId="0" xfId="0" applyFont="1" applyFill="1" applyBorder="1" applyAlignment="1">
      <alignment horizontal="center" wrapText="1"/>
    </xf>
    <xf numFmtId="43" fontId="8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15" fillId="0" borderId="0" xfId="0" applyFont="1" applyFill="1" applyBorder="1" applyAlignment="1">
      <alignment horizontal="justify" vertical="center" wrapText="1"/>
    </xf>
    <xf numFmtId="43" fontId="14" fillId="0" borderId="0" xfId="0" applyNumberFormat="1" applyFont="1" applyFill="1" applyBorder="1" applyAlignment="1">
      <alignment wrapText="1"/>
    </xf>
    <xf numFmtId="43" fontId="8" fillId="0" borderId="0" xfId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/>
    <xf numFmtId="0" fontId="22" fillId="0" borderId="0" xfId="0" applyFont="1" applyFill="1" applyBorder="1" applyAlignment="1"/>
    <xf numFmtId="164" fontId="14" fillId="0" borderId="0" xfId="0" applyNumberFormat="1" applyFont="1" applyFill="1" applyBorder="1"/>
    <xf numFmtId="0" fontId="0" fillId="0" borderId="21" xfId="0" applyFill="1" applyBorder="1"/>
    <xf numFmtId="0" fontId="0" fillId="0" borderId="0" xfId="0" applyFont="1" applyFill="1" applyBorder="1"/>
    <xf numFmtId="0" fontId="8" fillId="0" borderId="1" xfId="0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36" xfId="0" applyFont="1" applyFill="1" applyBorder="1" applyAlignment="1">
      <alignment horizontal="right"/>
    </xf>
    <xf numFmtId="43" fontId="3" fillId="0" borderId="21" xfId="1" applyFont="1" applyFill="1" applyBorder="1"/>
    <xf numFmtId="43" fontId="3" fillId="0" borderId="1" xfId="1" applyFont="1" applyFill="1" applyBorder="1"/>
    <xf numFmtId="0" fontId="5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8" fillId="0" borderId="36" xfId="0" applyFont="1" applyFill="1" applyBorder="1" applyAlignment="1">
      <alignment horizontal="right" wrapText="1"/>
    </xf>
    <xf numFmtId="0" fontId="1" fillId="0" borderId="2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" fontId="14" fillId="0" borderId="0" xfId="0" applyNumberFormat="1" applyFont="1" applyFill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8" fontId="14" fillId="0" borderId="1" xfId="0" applyNumberFormat="1" applyFont="1" applyFill="1" applyBorder="1"/>
    <xf numFmtId="0" fontId="15" fillId="0" borderId="0" xfId="0" applyFont="1" applyFill="1" applyAlignment="1">
      <alignment horizontal="right" vertical="center"/>
    </xf>
    <xf numFmtId="43" fontId="0" fillId="0" borderId="0" xfId="0" applyNumberFormat="1" applyFill="1"/>
    <xf numFmtId="0" fontId="13" fillId="0" borderId="45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right" wrapText="1"/>
    </xf>
    <xf numFmtId="0" fontId="13" fillId="0" borderId="46" xfId="0" applyFont="1" applyFill="1" applyBorder="1" applyAlignment="1">
      <alignment horizontal="right" vertical="center" wrapText="1"/>
    </xf>
    <xf numFmtId="0" fontId="15" fillId="0" borderId="32" xfId="0" applyFont="1" applyFill="1" applyBorder="1" applyAlignment="1">
      <alignment horizontal="right" vertical="center" wrapText="1"/>
    </xf>
    <xf numFmtId="1" fontId="14" fillId="0" borderId="5" xfId="0" applyNumberFormat="1" applyFont="1" applyFill="1" applyBorder="1" applyAlignment="1">
      <alignment horizontal="center"/>
    </xf>
    <xf numFmtId="43" fontId="8" fillId="0" borderId="5" xfId="0" applyNumberFormat="1" applyFont="1" applyFill="1" applyBorder="1"/>
    <xf numFmtId="8" fontId="14" fillId="0" borderId="0" xfId="0" applyNumberFormat="1" applyFont="1" applyFill="1" applyAlignment="1">
      <alignment horizontal="right"/>
    </xf>
    <xf numFmtId="0" fontId="14" fillId="19" borderId="1" xfId="0" applyFont="1" applyFill="1" applyBorder="1" applyAlignment="1">
      <alignment wrapText="1"/>
    </xf>
    <xf numFmtId="0" fontId="0" fillId="19" borderId="0" xfId="0" applyFill="1" applyAlignment="1">
      <alignment vertical="center"/>
    </xf>
    <xf numFmtId="1" fontId="0" fillId="19" borderId="0" xfId="0" applyNumberFormat="1" applyFill="1" applyAlignment="1">
      <alignment horizontal="center"/>
    </xf>
    <xf numFmtId="0" fontId="0" fillId="19" borderId="0" xfId="0" applyFill="1"/>
    <xf numFmtId="0" fontId="2" fillId="19" borderId="0" xfId="0" applyFont="1" applyFill="1" applyAlignment="1">
      <alignment horizontal="right"/>
    </xf>
    <xf numFmtId="0" fontId="8" fillId="21" borderId="1" xfId="0" applyFont="1" applyFill="1" applyBorder="1" applyAlignment="1">
      <alignment horizontal="center" wrapText="1"/>
    </xf>
    <xf numFmtId="0" fontId="8" fillId="21" borderId="36" xfId="0" applyFont="1" applyFill="1" applyBorder="1" applyAlignment="1">
      <alignment horizontal="center" wrapText="1"/>
    </xf>
    <xf numFmtId="0" fontId="14" fillId="21" borderId="1" xfId="0" applyFont="1" applyFill="1" applyBorder="1" applyAlignment="1">
      <alignment wrapText="1"/>
    </xf>
    <xf numFmtId="2" fontId="14" fillId="21" borderId="2" xfId="0" applyNumberFormat="1" applyFont="1" applyFill="1" applyBorder="1"/>
    <xf numFmtId="2" fontId="14" fillId="21" borderId="36" xfId="0" applyNumberFormat="1" applyFont="1" applyFill="1" applyBorder="1"/>
    <xf numFmtId="0" fontId="14" fillId="21" borderId="36" xfId="0" applyFont="1" applyFill="1" applyBorder="1"/>
    <xf numFmtId="49" fontId="0" fillId="21" borderId="1" xfId="0" applyNumberFormat="1" applyFont="1" applyFill="1" applyBorder="1" applyAlignment="1">
      <alignment vertical="top"/>
    </xf>
    <xf numFmtId="0" fontId="31" fillId="21" borderId="1" xfId="0" applyFont="1" applyFill="1" applyBorder="1" applyAlignment="1">
      <alignment vertical="top"/>
    </xf>
    <xf numFmtId="0" fontId="0" fillId="21" borderId="1" xfId="0" applyFont="1" applyFill="1" applyBorder="1"/>
    <xf numFmtId="2" fontId="0" fillId="21" borderId="36" xfId="0" applyNumberFormat="1" applyFont="1" applyFill="1" applyBorder="1" applyAlignment="1">
      <alignment vertical="top"/>
    </xf>
    <xf numFmtId="49" fontId="0" fillId="21" borderId="1" xfId="0" applyNumberFormat="1" applyFill="1" applyBorder="1" applyAlignment="1">
      <alignment vertical="top"/>
    </xf>
    <xf numFmtId="2" fontId="0" fillId="21" borderId="36" xfId="0" applyNumberFormat="1" applyFill="1" applyBorder="1" applyAlignment="1">
      <alignment vertical="top"/>
    </xf>
    <xf numFmtId="2" fontId="14" fillId="21" borderId="1" xfId="0" applyNumberFormat="1" applyFont="1" applyFill="1" applyBorder="1" applyAlignment="1">
      <alignment horizontal="right"/>
    </xf>
    <xf numFmtId="0" fontId="14" fillId="21" borderId="22" xfId="0" applyFont="1" applyFill="1" applyBorder="1" applyAlignment="1">
      <alignment wrapText="1"/>
    </xf>
    <xf numFmtId="2" fontId="14" fillId="21" borderId="0" xfId="0" applyNumberFormat="1" applyFont="1" applyFill="1" applyBorder="1"/>
    <xf numFmtId="0" fontId="0" fillId="21" borderId="1" xfId="0" applyFill="1" applyBorder="1"/>
    <xf numFmtId="43" fontId="0" fillId="21" borderId="36" xfId="1" applyFont="1" applyFill="1" applyBorder="1"/>
    <xf numFmtId="49" fontId="19" fillId="21" borderId="1" xfId="0" applyNumberFormat="1" applyFont="1" applyFill="1" applyBorder="1" applyAlignment="1">
      <alignment horizontal="left" vertical="top"/>
    </xf>
    <xf numFmtId="0" fontId="29" fillId="21" borderId="1" xfId="0" applyFont="1" applyFill="1" applyBorder="1" applyAlignment="1">
      <alignment vertical="top"/>
    </xf>
    <xf numFmtId="49" fontId="30" fillId="21" borderId="1" xfId="0" applyNumberFormat="1" applyFont="1" applyFill="1" applyBorder="1" applyAlignment="1">
      <alignment vertical="top"/>
    </xf>
    <xf numFmtId="0" fontId="14" fillId="21" borderId="1" xfId="0" applyFont="1" applyFill="1" applyBorder="1" applyAlignment="1">
      <alignment horizontal="right" vertical="center" wrapText="1"/>
    </xf>
    <xf numFmtId="4" fontId="13" fillId="21" borderId="1" xfId="0" applyNumberFormat="1" applyFont="1" applyFill="1" applyBorder="1" applyAlignment="1">
      <alignment horizontal="right" vertical="center" wrapText="1"/>
    </xf>
    <xf numFmtId="4" fontId="15" fillId="21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/>
    </xf>
    <xf numFmtId="14" fontId="45" fillId="3" borderId="5" xfId="0" applyNumberFormat="1" applyFont="1" applyFill="1" applyBorder="1" applyAlignment="1">
      <alignment vertical="center"/>
    </xf>
    <xf numFmtId="0" fontId="45" fillId="3" borderId="5" xfId="0" applyFont="1" applyFill="1" applyBorder="1" applyAlignment="1">
      <alignment horizontal="center"/>
    </xf>
    <xf numFmtId="0" fontId="45" fillId="3" borderId="5" xfId="0" applyFont="1" applyFill="1" applyBorder="1"/>
    <xf numFmtId="43" fontId="45" fillId="3" borderId="5" xfId="1" applyFont="1" applyFill="1" applyBorder="1"/>
    <xf numFmtId="14" fontId="37" fillId="28" borderId="23" xfId="0" applyNumberFormat="1" applyFont="1" applyFill="1" applyBorder="1" applyAlignment="1">
      <alignment vertical="center"/>
    </xf>
    <xf numFmtId="1" fontId="37" fillId="28" borderId="41" xfId="0" applyNumberFormat="1" applyFont="1" applyFill="1" applyBorder="1" applyAlignment="1">
      <alignment horizontal="center"/>
    </xf>
    <xf numFmtId="0" fontId="37" fillId="28" borderId="41" xfId="0" applyFont="1" applyFill="1" applyBorder="1"/>
    <xf numFmtId="43" fontId="37" fillId="28" borderId="24" xfId="1" applyFont="1" applyFill="1" applyBorder="1"/>
    <xf numFmtId="0" fontId="45" fillId="28" borderId="42" xfId="0" applyFont="1" applyFill="1" applyBorder="1" applyAlignment="1">
      <alignment vertical="center"/>
    </xf>
    <xf numFmtId="1" fontId="45" fillId="28" borderId="43" xfId="0" applyNumberFormat="1" applyFont="1" applyFill="1" applyBorder="1" applyAlignment="1">
      <alignment horizontal="center"/>
    </xf>
    <xf numFmtId="0" fontId="45" fillId="28" borderId="43" xfId="0" applyFont="1" applyFill="1" applyBorder="1"/>
    <xf numFmtId="43" fontId="45" fillId="28" borderId="44" xfId="0" applyNumberFormat="1" applyFont="1" applyFill="1" applyBorder="1" applyAlignment="1">
      <alignment horizontal="right"/>
    </xf>
    <xf numFmtId="0" fontId="45" fillId="34" borderId="0" xfId="0" applyFont="1" applyFill="1" applyAlignment="1">
      <alignment vertical="center"/>
    </xf>
    <xf numFmtId="1" fontId="45" fillId="34" borderId="0" xfId="0" applyNumberFormat="1" applyFont="1" applyFill="1" applyAlignment="1">
      <alignment horizontal="center"/>
    </xf>
    <xf numFmtId="0" fontId="45" fillId="34" borderId="0" xfId="0" applyFont="1" applyFill="1"/>
    <xf numFmtId="0" fontId="45" fillId="34" borderId="0" xfId="0" applyFont="1" applyFill="1" applyAlignment="1">
      <alignment horizontal="right"/>
    </xf>
    <xf numFmtId="0" fontId="45" fillId="19" borderId="0" xfId="0" applyFont="1" applyFill="1" applyAlignment="1">
      <alignment vertical="center"/>
    </xf>
    <xf numFmtId="1" fontId="45" fillId="19" borderId="0" xfId="0" applyNumberFormat="1" applyFont="1" applyFill="1" applyAlignment="1">
      <alignment horizontal="center"/>
    </xf>
    <xf numFmtId="0" fontId="45" fillId="19" borderId="0" xfId="0" applyFont="1" applyFill="1"/>
    <xf numFmtId="0" fontId="45" fillId="19" borderId="0" xfId="0" applyFont="1" applyFill="1" applyAlignment="1">
      <alignment horizontal="right"/>
    </xf>
    <xf numFmtId="0" fontId="45" fillId="21" borderId="1" xfId="0" applyFont="1" applyFill="1" applyBorder="1"/>
    <xf numFmtId="0" fontId="45" fillId="21" borderId="1" xfId="0" applyFont="1" applyFill="1" applyBorder="1" applyAlignment="1">
      <alignment horizontal="left"/>
    </xf>
    <xf numFmtId="2" fontId="45" fillId="21" borderId="1" xfId="0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wrapText="1"/>
    </xf>
    <xf numFmtId="0" fontId="8" fillId="0" borderId="3" xfId="0" applyFont="1" applyFill="1" applyBorder="1" applyAlignment="1">
      <alignment vertical="center"/>
    </xf>
    <xf numFmtId="1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right"/>
    </xf>
    <xf numFmtId="0" fontId="8" fillId="0" borderId="37" xfId="0" applyFont="1" applyFill="1" applyBorder="1" applyAlignment="1">
      <alignment horizontal="right"/>
    </xf>
    <xf numFmtId="43" fontId="3" fillId="0" borderId="47" xfId="1" applyFont="1" applyFill="1" applyBorder="1"/>
    <xf numFmtId="43" fontId="3" fillId="0" borderId="3" xfId="1" applyFont="1" applyFill="1" applyBorder="1"/>
    <xf numFmtId="43" fontId="1" fillId="0" borderId="3" xfId="1" applyFont="1" applyFill="1" applyBorder="1" applyAlignment="1">
      <alignment horizontal="center" wrapText="1"/>
    </xf>
    <xf numFmtId="2" fontId="30" fillId="0" borderId="0" xfId="0" applyNumberFormat="1" applyFont="1" applyFill="1" applyBorder="1" applyAlignment="1">
      <alignment horizontal="right" vertical="top"/>
    </xf>
    <xf numFmtId="2" fontId="45" fillId="0" borderId="0" xfId="0" applyNumberFormat="1" applyFont="1" applyFill="1" applyBorder="1" applyAlignment="1">
      <alignment horizontal="right"/>
    </xf>
    <xf numFmtId="0" fontId="44" fillId="0" borderId="0" xfId="0" applyFont="1" applyFill="1" applyBorder="1"/>
    <xf numFmtId="2" fontId="14" fillId="21" borderId="1" xfId="0" applyNumberFormat="1" applyFont="1" applyFill="1" applyBorder="1"/>
    <xf numFmtId="14" fontId="14" fillId="21" borderId="1" xfId="0" applyNumberFormat="1" applyFont="1" applyFill="1" applyBorder="1" applyAlignment="1">
      <alignment vertical="center"/>
    </xf>
    <xf numFmtId="49" fontId="25" fillId="21" borderId="1" xfId="0" applyNumberFormat="1" applyFont="1" applyFill="1" applyBorder="1" applyAlignment="1">
      <alignment horizontal="center" vertical="top"/>
    </xf>
    <xf numFmtId="14" fontId="45" fillId="21" borderId="1" xfId="0" applyNumberFormat="1" applyFont="1" applyFill="1" applyBorder="1" applyAlignment="1">
      <alignment vertical="center"/>
    </xf>
    <xf numFmtId="1" fontId="45" fillId="21" borderId="1" xfId="0" applyNumberFormat="1" applyFont="1" applyFill="1" applyBorder="1" applyAlignment="1">
      <alignment horizontal="center"/>
    </xf>
    <xf numFmtId="0" fontId="46" fillId="7" borderId="1" xfId="0" applyFont="1" applyFill="1" applyBorder="1" applyAlignment="1">
      <alignment horizontal="center" wrapText="1"/>
    </xf>
    <xf numFmtId="43" fontId="5" fillId="0" borderId="1" xfId="1" applyFont="1" applyBorder="1"/>
    <xf numFmtId="43" fontId="5" fillId="0" borderId="1" xfId="1" applyFont="1" applyFill="1" applyBorder="1"/>
    <xf numFmtId="43" fontId="33" fillId="0" borderId="1" xfId="1" applyFont="1" applyBorder="1" applyAlignment="1">
      <alignment vertical="top"/>
    </xf>
    <xf numFmtId="43" fontId="0" fillId="0" borderId="0" xfId="0" applyNumberFormat="1" applyFill="1" applyBorder="1"/>
    <xf numFmtId="2" fontId="14" fillId="19" borderId="36" xfId="0" applyNumberFormat="1" applyFont="1" applyFill="1" applyBorder="1"/>
    <xf numFmtId="0" fontId="14" fillId="19" borderId="1" xfId="0" applyFont="1" applyFill="1" applyBorder="1" applyAlignment="1">
      <alignment horizontal="left"/>
    </xf>
    <xf numFmtId="49" fontId="0" fillId="19" borderId="1" xfId="0" applyNumberFormat="1" applyFill="1" applyBorder="1" applyAlignment="1">
      <alignment vertical="top"/>
    </xf>
    <xf numFmtId="49" fontId="14" fillId="19" borderId="1" xfId="0" applyNumberFormat="1" applyFont="1" applyFill="1" applyBorder="1" applyAlignment="1">
      <alignment horizontal="left"/>
    </xf>
    <xf numFmtId="2" fontId="0" fillId="19" borderId="36" xfId="0" applyNumberFormat="1" applyFill="1" applyBorder="1" applyAlignment="1">
      <alignment vertical="top"/>
    </xf>
    <xf numFmtId="2" fontId="13" fillId="0" borderId="13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15" fillId="16" borderId="35" xfId="0" applyFont="1" applyFill="1" applyBorder="1" applyAlignment="1">
      <alignment vertical="center"/>
    </xf>
    <xf numFmtId="0" fontId="6" fillId="16" borderId="35" xfId="0" applyFont="1" applyFill="1" applyBorder="1" applyAlignment="1">
      <alignment vertical="center"/>
    </xf>
    <xf numFmtId="0" fontId="13" fillId="16" borderId="1" xfId="0" applyFont="1" applyFill="1" applyBorder="1" applyAlignment="1">
      <alignment vertical="center"/>
    </xf>
    <xf numFmtId="0" fontId="13" fillId="16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 wrapText="1"/>
    </xf>
    <xf numFmtId="2" fontId="13" fillId="0" borderId="1" xfId="0" applyNumberFormat="1" applyFont="1" applyBorder="1" applyAlignment="1">
      <alignment horizontal="right" vertical="center"/>
    </xf>
    <xf numFmtId="0" fontId="0" fillId="35" borderId="1" xfId="0" applyFill="1" applyBorder="1"/>
    <xf numFmtId="0" fontId="5" fillId="36" borderId="1" xfId="0" applyFont="1" applyFill="1" applyBorder="1"/>
    <xf numFmtId="0" fontId="15" fillId="2" borderId="19" xfId="0" applyFont="1" applyFill="1" applyBorder="1" applyAlignment="1">
      <alignment vertical="center"/>
    </xf>
    <xf numFmtId="4" fontId="15" fillId="2" borderId="20" xfId="0" applyNumberFormat="1" applyFont="1" applyFill="1" applyBorder="1" applyAlignment="1">
      <alignment horizontal="right" vertical="center"/>
    </xf>
    <xf numFmtId="4" fontId="13" fillId="2" borderId="14" xfId="0" applyNumberFormat="1" applyFont="1" applyFill="1" applyBorder="1" applyAlignment="1">
      <alignment horizontal="right" vertical="center" wrapText="1"/>
    </xf>
    <xf numFmtId="0" fontId="15" fillId="2" borderId="15" xfId="0" applyFont="1" applyFill="1" applyBorder="1" applyAlignment="1">
      <alignment horizontal="right" vertical="center" wrapText="1"/>
    </xf>
    <xf numFmtId="0" fontId="10" fillId="20" borderId="15" xfId="0" applyFont="1" applyFill="1" applyBorder="1" applyAlignment="1">
      <alignment vertical="center" wrapText="1"/>
    </xf>
    <xf numFmtId="4" fontId="13" fillId="20" borderId="14" xfId="0" applyNumberFormat="1" applyFont="1" applyFill="1" applyBorder="1" applyAlignment="1">
      <alignment horizontal="right" vertical="center"/>
    </xf>
    <xf numFmtId="0" fontId="10" fillId="7" borderId="17" xfId="0" applyFont="1" applyFill="1" applyBorder="1" applyAlignment="1">
      <alignment vertical="center"/>
    </xf>
    <xf numFmtId="4" fontId="13" fillId="7" borderId="13" xfId="0" applyNumberFormat="1" applyFont="1" applyFill="1" applyBorder="1" applyAlignment="1">
      <alignment horizontal="right" vertical="center"/>
    </xf>
    <xf numFmtId="0" fontId="10" fillId="27" borderId="17" xfId="0" applyFont="1" applyFill="1" applyBorder="1" applyAlignment="1">
      <alignment vertical="center" wrapText="1"/>
    </xf>
    <xf numFmtId="0" fontId="13" fillId="27" borderId="13" xfId="0" applyFont="1" applyFill="1" applyBorder="1" applyAlignment="1">
      <alignment horizontal="right" vertical="center"/>
    </xf>
    <xf numFmtId="0" fontId="0" fillId="21" borderId="1" xfId="0" applyFill="1" applyBorder="1" applyAlignment="1">
      <alignment horizontal="center" wrapText="1"/>
    </xf>
    <xf numFmtId="0" fontId="5" fillId="21" borderId="1" xfId="0" applyFont="1" applyFill="1" applyBorder="1" applyAlignment="1"/>
    <xf numFmtId="43" fontId="5" fillId="0" borderId="5" xfId="1" applyFont="1" applyBorder="1"/>
    <xf numFmtId="14" fontId="14" fillId="0" borderId="1" xfId="0" applyNumberFormat="1" applyFont="1" applyFill="1" applyBorder="1" applyAlignment="1">
      <alignment horizontal="right" vertical="center"/>
    </xf>
    <xf numFmtId="0" fontId="35" fillId="0" borderId="5" xfId="0" applyFont="1" applyFill="1" applyBorder="1" applyAlignment="1">
      <alignment horizontal="right"/>
    </xf>
    <xf numFmtId="43" fontId="8" fillId="0" borderId="5" xfId="1" applyFont="1" applyFill="1" applyBorder="1"/>
    <xf numFmtId="0" fontId="44" fillId="28" borderId="14" xfId="0" applyFont="1" applyFill="1" applyBorder="1"/>
    <xf numFmtId="0" fontId="48" fillId="28" borderId="48" xfId="0" applyFont="1" applyFill="1" applyBorder="1"/>
    <xf numFmtId="0" fontId="48" fillId="28" borderId="31" xfId="0" applyFont="1" applyFill="1" applyBorder="1" applyAlignment="1">
      <alignment horizontal="right"/>
    </xf>
    <xf numFmtId="0" fontId="49" fillId="28" borderId="31" xfId="0" applyFont="1" applyFill="1" applyBorder="1"/>
    <xf numFmtId="43" fontId="49" fillId="28" borderId="31" xfId="0" applyNumberFormat="1" applyFont="1" applyFill="1" applyBorder="1"/>
    <xf numFmtId="0" fontId="1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2" fontId="13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2" fontId="15" fillId="0" borderId="1" xfId="0" applyNumberFormat="1" applyFont="1" applyFill="1" applyBorder="1" applyAlignment="1">
      <alignment vertical="center"/>
    </xf>
    <xf numFmtId="43" fontId="50" fillId="26" borderId="1" xfId="1" applyFont="1" applyFill="1" applyBorder="1" applyAlignment="1">
      <alignment vertical="center"/>
    </xf>
    <xf numFmtId="0" fontId="1" fillId="4" borderId="3" xfId="0" applyFont="1" applyFill="1" applyBorder="1" applyAlignment="1">
      <alignment horizontal="center"/>
    </xf>
    <xf numFmtId="0" fontId="15" fillId="0" borderId="36" xfId="0" applyFont="1" applyFill="1" applyBorder="1" applyAlignment="1">
      <alignment vertical="center"/>
    </xf>
    <xf numFmtId="0" fontId="13" fillId="0" borderId="36" xfId="0" applyFont="1" applyFill="1" applyBorder="1" applyAlignment="1">
      <alignment vertical="center"/>
    </xf>
    <xf numFmtId="43" fontId="50" fillId="26" borderId="36" xfId="1" applyFont="1" applyFill="1" applyBorder="1" applyAlignment="1">
      <alignment vertical="center"/>
    </xf>
    <xf numFmtId="0" fontId="0" fillId="0" borderId="36" xfId="0" applyFill="1" applyBorder="1"/>
    <xf numFmtId="43" fontId="8" fillId="0" borderId="1" xfId="0" applyNumberFormat="1" applyFont="1" applyFill="1" applyBorder="1" applyAlignment="1">
      <alignment horizontal="center"/>
    </xf>
    <xf numFmtId="0" fontId="47" fillId="0" borderId="1" xfId="0" applyFont="1" applyFill="1" applyBorder="1" applyAlignment="1">
      <alignment horizontal="right" vertical="center" wrapText="1"/>
    </xf>
    <xf numFmtId="4" fontId="47" fillId="0" borderId="1" xfId="0" applyNumberFormat="1" applyFont="1" applyFill="1" applyBorder="1" applyAlignment="1">
      <alignment horizontal="right" vertical="center" wrapText="1"/>
    </xf>
    <xf numFmtId="1" fontId="14" fillId="0" borderId="0" xfId="0" applyNumberFormat="1" applyFont="1" applyFill="1" applyBorder="1" applyAlignment="1">
      <alignment horizontal="right" wrapText="1"/>
    </xf>
    <xf numFmtId="43" fontId="0" fillId="0" borderId="0" xfId="0" applyNumberFormat="1" applyAlignment="1">
      <alignment horizontal="right"/>
    </xf>
    <xf numFmtId="0" fontId="0" fillId="0" borderId="49" xfId="0" applyBorder="1"/>
    <xf numFmtId="0" fontId="0" fillId="0" borderId="20" xfId="0" applyBorder="1"/>
    <xf numFmtId="0" fontId="47" fillId="0" borderId="49" xfId="0" applyFont="1" applyBorder="1" applyAlignment="1">
      <alignment vertical="center"/>
    </xf>
    <xf numFmtId="0" fontId="13" fillId="16" borderId="25" xfId="0" applyFont="1" applyFill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27" fillId="0" borderId="49" xfId="0" applyFont="1" applyBorder="1" applyAlignment="1">
      <alignment vertical="center"/>
    </xf>
    <xf numFmtId="0" fontId="0" fillId="21" borderId="25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35" borderId="25" xfId="0" applyFill="1" applyBorder="1"/>
    <xf numFmtId="0" fontId="0" fillId="0" borderId="20" xfId="0" applyFill="1" applyBorder="1"/>
    <xf numFmtId="0" fontId="0" fillId="0" borderId="25" xfId="0" applyBorder="1"/>
    <xf numFmtId="43" fontId="5" fillId="0" borderId="25" xfId="1" applyFont="1" applyBorder="1"/>
    <xf numFmtId="43" fontId="5" fillId="0" borderId="20" xfId="1" applyFont="1" applyFill="1" applyBorder="1"/>
    <xf numFmtId="0" fontId="5" fillId="21" borderId="25" xfId="0" applyFont="1" applyFill="1" applyBorder="1" applyAlignment="1"/>
    <xf numFmtId="0" fontId="5" fillId="0" borderId="20" xfId="0" applyFont="1" applyFill="1" applyBorder="1" applyAlignment="1"/>
    <xf numFmtId="0" fontId="5" fillId="36" borderId="25" xfId="0" applyFont="1" applyFill="1" applyBorder="1"/>
    <xf numFmtId="0" fontId="5" fillId="0" borderId="20" xfId="0" applyFont="1" applyFill="1" applyBorder="1"/>
    <xf numFmtId="43" fontId="0" fillId="0" borderId="0" xfId="0" applyNumberFormat="1" applyBorder="1"/>
    <xf numFmtId="0" fontId="28" fillId="0" borderId="49" xfId="0" applyFont="1" applyBorder="1" applyAlignment="1">
      <alignment vertical="center"/>
    </xf>
    <xf numFmtId="0" fontId="0" fillId="0" borderId="32" xfId="0" applyBorder="1"/>
    <xf numFmtId="0" fontId="0" fillId="0" borderId="18" xfId="0" applyBorder="1"/>
    <xf numFmtId="0" fontId="0" fillId="0" borderId="13" xfId="0" applyBorder="1"/>
    <xf numFmtId="0" fontId="32" fillId="7" borderId="25" xfId="0" applyFont="1" applyFill="1" applyBorder="1" applyAlignment="1">
      <alignment horizontal="center" wrapText="1"/>
    </xf>
    <xf numFmtId="0" fontId="46" fillId="7" borderId="26" xfId="0" applyFont="1" applyFill="1" applyBorder="1" applyAlignment="1">
      <alignment horizontal="center" wrapText="1"/>
    </xf>
    <xf numFmtId="43" fontId="0" fillId="0" borderId="26" xfId="1" applyFont="1" applyBorder="1"/>
    <xf numFmtId="43" fontId="14" fillId="0" borderId="26" xfId="1" applyFont="1" applyFill="1" applyBorder="1" applyAlignment="1">
      <alignment horizontal="right"/>
    </xf>
    <xf numFmtId="43" fontId="14" fillId="0" borderId="26" xfId="1" applyFont="1" applyFill="1" applyBorder="1"/>
    <xf numFmtId="43" fontId="5" fillId="0" borderId="25" xfId="1" applyFont="1" applyFill="1" applyBorder="1"/>
    <xf numFmtId="43" fontId="5" fillId="0" borderId="49" xfId="1" applyFont="1" applyBorder="1"/>
    <xf numFmtId="43" fontId="0" fillId="0" borderId="0" xfId="1" applyFont="1" applyBorder="1"/>
    <xf numFmtId="43" fontId="0" fillId="0" borderId="0" xfId="1" applyFont="1" applyFill="1" applyBorder="1"/>
    <xf numFmtId="43" fontId="0" fillId="0" borderId="20" xfId="1" applyFont="1" applyBorder="1"/>
    <xf numFmtId="43" fontId="0" fillId="0" borderId="26" xfId="1" applyFont="1" applyFill="1" applyBorder="1"/>
    <xf numFmtId="0" fontId="5" fillId="0" borderId="25" xfId="0" applyFont="1" applyBorder="1"/>
    <xf numFmtId="0" fontId="0" fillId="0" borderId="26" xfId="0" applyBorder="1"/>
    <xf numFmtId="43" fontId="0" fillId="0" borderId="26" xfId="1" applyFont="1" applyBorder="1" applyAlignment="1">
      <alignment vertical="top"/>
    </xf>
    <xf numFmtId="43" fontId="0" fillId="0" borderId="26" xfId="1" applyFont="1" applyFill="1" applyBorder="1" applyAlignment="1">
      <alignment vertical="top"/>
    </xf>
    <xf numFmtId="0" fontId="5" fillId="0" borderId="42" xfId="0" applyFont="1" applyBorder="1"/>
    <xf numFmtId="0" fontId="0" fillId="0" borderId="43" xfId="0" applyBorder="1"/>
    <xf numFmtId="43" fontId="0" fillId="0" borderId="43" xfId="1" applyFont="1" applyBorder="1"/>
    <xf numFmtId="43" fontId="0" fillId="0" borderId="44" xfId="1" applyFont="1" applyBorder="1"/>
    <xf numFmtId="0" fontId="36" fillId="0" borderId="33" xfId="0" applyFont="1" applyBorder="1" applyAlignment="1">
      <alignment horizontal="left" vertical="center"/>
    </xf>
    <xf numFmtId="0" fontId="37" fillId="0" borderId="34" xfId="0" applyFont="1" applyBorder="1"/>
    <xf numFmtId="166" fontId="37" fillId="0" borderId="34" xfId="1" applyNumberFormat="1" applyFont="1" applyBorder="1" applyAlignment="1">
      <alignment horizontal="right"/>
    </xf>
    <xf numFmtId="0" fontId="37" fillId="0" borderId="35" xfId="0" applyFont="1" applyBorder="1"/>
    <xf numFmtId="0" fontId="38" fillId="0" borderId="49" xfId="0" applyFont="1" applyBorder="1" applyAlignment="1">
      <alignment horizontal="left" wrapText="1"/>
    </xf>
    <xf numFmtId="0" fontId="38" fillId="0" borderId="0" xfId="0" applyFont="1" applyBorder="1" applyAlignment="1">
      <alignment horizontal="left" wrapText="1"/>
    </xf>
    <xf numFmtId="0" fontId="38" fillId="0" borderId="20" xfId="0" applyFont="1" applyBorder="1" applyAlignment="1">
      <alignment horizontal="left" wrapText="1"/>
    </xf>
    <xf numFmtId="0" fontId="40" fillId="0" borderId="49" xfId="0" applyFont="1" applyBorder="1"/>
    <xf numFmtId="0" fontId="40" fillId="0" borderId="0" xfId="0" applyFont="1" applyBorder="1"/>
    <xf numFmtId="0" fontId="40" fillId="0" borderId="20" xfId="0" applyFont="1" applyBorder="1"/>
    <xf numFmtId="0" fontId="41" fillId="0" borderId="49" xfId="0" applyFont="1" applyBorder="1"/>
    <xf numFmtId="0" fontId="41" fillId="0" borderId="0" xfId="0" applyFont="1" applyBorder="1"/>
    <xf numFmtId="14" fontId="40" fillId="11" borderId="0" xfId="0" applyNumberFormat="1" applyFont="1" applyFill="1" applyBorder="1"/>
    <xf numFmtId="166" fontId="41" fillId="0" borderId="0" xfId="1" applyNumberFormat="1" applyFont="1" applyBorder="1" applyAlignment="1">
      <alignment horizontal="right"/>
    </xf>
    <xf numFmtId="0" fontId="41" fillId="0" borderId="20" xfId="0" applyFont="1" applyBorder="1"/>
    <xf numFmtId="0" fontId="40" fillId="11" borderId="0" xfId="0" applyFont="1" applyFill="1" applyBorder="1"/>
    <xf numFmtId="167" fontId="40" fillId="0" borderId="0" xfId="1" applyNumberFormat="1" applyFont="1" applyBorder="1" applyAlignment="1">
      <alignment horizontal="right"/>
    </xf>
    <xf numFmtId="0" fontId="40" fillId="0" borderId="49" xfId="0" applyFont="1" applyBorder="1" applyAlignment="1">
      <alignment horizontal="center"/>
    </xf>
    <xf numFmtId="166" fontId="40" fillId="0" borderId="1" xfId="1" applyNumberFormat="1" applyFont="1" applyBorder="1" applyAlignment="1">
      <alignment horizontal="right"/>
    </xf>
    <xf numFmtId="166" fontId="41" fillId="0" borderId="1" xfId="1" applyNumberFormat="1" applyFont="1" applyBorder="1" applyAlignment="1">
      <alignment horizontal="right"/>
    </xf>
    <xf numFmtId="43" fontId="40" fillId="0" borderId="1" xfId="1" applyFont="1" applyBorder="1" applyAlignment="1">
      <alignment horizontal="right"/>
    </xf>
    <xf numFmtId="0" fontId="40" fillId="0" borderId="1" xfId="0" applyFont="1" applyBorder="1"/>
    <xf numFmtId="166" fontId="40" fillId="11" borderId="1" xfId="1" applyNumberFormat="1" applyFont="1" applyFill="1" applyBorder="1" applyAlignment="1">
      <alignment horizontal="right"/>
    </xf>
    <xf numFmtId="165" fontId="40" fillId="0" borderId="1" xfId="1" applyNumberFormat="1" applyFont="1" applyBorder="1" applyAlignment="1">
      <alignment horizontal="right"/>
    </xf>
    <xf numFmtId="14" fontId="14" fillId="28" borderId="1" xfId="0" applyNumberFormat="1" applyFont="1" applyFill="1" applyBorder="1"/>
    <xf numFmtId="43" fontId="8" fillId="28" borderId="1" xfId="0" applyNumberFormat="1" applyFont="1" applyFill="1" applyBorder="1" applyAlignment="1">
      <alignment horizontal="right"/>
    </xf>
    <xf numFmtId="0" fontId="8" fillId="28" borderId="1" xfId="0" applyFont="1" applyFill="1" applyBorder="1" applyAlignment="1">
      <alignment horizontal="right"/>
    </xf>
    <xf numFmtId="0" fontId="15" fillId="10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18" borderId="0" xfId="0" applyFont="1" applyFill="1" applyBorder="1" applyAlignment="1">
      <alignment horizontal="right" vertical="center" wrapText="1"/>
    </xf>
    <xf numFmtId="0" fontId="10" fillId="22" borderId="1" xfId="0" applyFont="1" applyFill="1" applyBorder="1" applyAlignment="1">
      <alignment horizontal="left" vertical="center"/>
    </xf>
    <xf numFmtId="0" fontId="10" fillId="13" borderId="0" xfId="0" applyFont="1" applyFill="1" applyBorder="1" applyAlignment="1">
      <alignment vertical="center"/>
    </xf>
    <xf numFmtId="0" fontId="8" fillId="0" borderId="1" xfId="0" applyFont="1" applyBorder="1" applyAlignment="1">
      <alignment horizontal="left" wrapText="1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52" fillId="4" borderId="33" xfId="0" applyFont="1" applyFill="1" applyBorder="1" applyAlignment="1">
      <alignment horizontal="center" vertical="center"/>
    </xf>
    <xf numFmtId="0" fontId="52" fillId="4" borderId="34" xfId="0" applyFont="1" applyFill="1" applyBorder="1" applyAlignment="1">
      <alignment horizontal="center" vertical="center"/>
    </xf>
    <xf numFmtId="0" fontId="52" fillId="4" borderId="35" xfId="0" applyFont="1" applyFill="1" applyBorder="1" applyAlignment="1">
      <alignment horizontal="center" vertical="center"/>
    </xf>
    <xf numFmtId="0" fontId="52" fillId="4" borderId="32" xfId="0" applyFont="1" applyFill="1" applyBorder="1" applyAlignment="1">
      <alignment horizontal="center" vertical="center"/>
    </xf>
    <xf numFmtId="0" fontId="52" fillId="4" borderId="18" xfId="0" applyFont="1" applyFill="1" applyBorder="1" applyAlignment="1">
      <alignment horizontal="center" vertical="center"/>
    </xf>
    <xf numFmtId="0" fontId="52" fillId="4" borderId="13" xfId="0" applyFont="1" applyFill="1" applyBorder="1" applyAlignment="1">
      <alignment horizontal="center" vertical="center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 wrapText="1"/>
    </xf>
    <xf numFmtId="0" fontId="15" fillId="12" borderId="16" xfId="0" applyFont="1" applyFill="1" applyBorder="1" applyAlignment="1">
      <alignment vertical="center" wrapText="1"/>
    </xf>
    <xf numFmtId="0" fontId="15" fillId="12" borderId="17" xfId="0" applyFont="1" applyFill="1" applyBorder="1" applyAlignment="1">
      <alignment vertical="center" wrapText="1"/>
    </xf>
    <xf numFmtId="4" fontId="15" fillId="12" borderId="16" xfId="0" applyNumberFormat="1" applyFont="1" applyFill="1" applyBorder="1" applyAlignment="1">
      <alignment horizontal="right" vertical="center" wrapText="1"/>
    </xf>
    <xf numFmtId="4" fontId="15" fillId="12" borderId="17" xfId="0" applyNumberFormat="1" applyFont="1" applyFill="1" applyBorder="1" applyAlignment="1">
      <alignment horizontal="right" vertical="center" wrapText="1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2" fontId="15" fillId="0" borderId="16" xfId="0" applyNumberFormat="1" applyFont="1" applyBorder="1" applyAlignment="1">
      <alignment horizontal="right" vertical="center"/>
    </xf>
    <xf numFmtId="2" fontId="15" fillId="0" borderId="17" xfId="0" applyNumberFormat="1" applyFont="1" applyBorder="1" applyAlignment="1">
      <alignment horizontal="right" vertical="center"/>
    </xf>
    <xf numFmtId="0" fontId="15" fillId="16" borderId="19" xfId="0" applyFont="1" applyFill="1" applyBorder="1" applyAlignment="1">
      <alignment vertical="center"/>
    </xf>
    <xf numFmtId="0" fontId="15" fillId="16" borderId="17" xfId="0" applyFont="1" applyFill="1" applyBorder="1" applyAlignment="1">
      <alignment vertical="center"/>
    </xf>
    <xf numFmtId="0" fontId="15" fillId="16" borderId="19" xfId="0" applyFont="1" applyFill="1" applyBorder="1" applyAlignment="1">
      <alignment horizontal="right" vertical="center"/>
    </xf>
    <xf numFmtId="0" fontId="15" fillId="16" borderId="17" xfId="0" applyFont="1" applyFill="1" applyBorder="1" applyAlignment="1">
      <alignment horizontal="right" vertical="center"/>
    </xf>
    <xf numFmtId="0" fontId="36" fillId="0" borderId="30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14" xfId="0" applyFont="1" applyBorder="1" applyAlignment="1">
      <alignment horizontal="left" vertical="center" wrapText="1"/>
    </xf>
    <xf numFmtId="0" fontId="8" fillId="0" borderId="1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26" fillId="0" borderId="16" xfId="0" applyFont="1" applyBorder="1" applyAlignment="1">
      <alignment horizontal="justify" vertical="center"/>
    </xf>
    <xf numFmtId="0" fontId="26" fillId="0" borderId="19" xfId="0" applyFont="1" applyBorder="1" applyAlignment="1">
      <alignment horizontal="justify" vertical="center"/>
    </xf>
    <xf numFmtId="0" fontId="26" fillId="0" borderId="17" xfId="0" applyFont="1" applyBorder="1" applyAlignment="1">
      <alignment horizontal="justify" vertical="center"/>
    </xf>
    <xf numFmtId="0" fontId="43" fillId="4" borderId="30" xfId="0" applyFont="1" applyFill="1" applyBorder="1" applyAlignment="1">
      <alignment horizontal="center" vertical="center"/>
    </xf>
    <xf numFmtId="0" fontId="42" fillId="4" borderId="31" xfId="0" applyFont="1" applyFill="1" applyBorder="1" applyAlignment="1">
      <alignment horizontal="center" vertical="center"/>
    </xf>
    <xf numFmtId="0" fontId="42" fillId="4" borderId="1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wrapText="1"/>
    </xf>
    <xf numFmtId="43" fontId="34" fillId="7" borderId="25" xfId="1" applyFont="1" applyFill="1" applyBorder="1" applyAlignment="1">
      <alignment horizontal="center"/>
    </xf>
    <xf numFmtId="43" fontId="34" fillId="7" borderId="1" xfId="1" applyFont="1" applyFill="1" applyBorder="1" applyAlignment="1">
      <alignment horizontal="center"/>
    </xf>
    <xf numFmtId="43" fontId="34" fillId="7" borderId="26" xfId="1" applyFont="1" applyFill="1" applyBorder="1" applyAlignment="1">
      <alignment horizontal="center"/>
    </xf>
    <xf numFmtId="0" fontId="53" fillId="4" borderId="51" xfId="0" applyFont="1" applyFill="1" applyBorder="1" applyAlignment="1">
      <alignment horizontal="center"/>
    </xf>
    <xf numFmtId="0" fontId="53" fillId="4" borderId="52" xfId="0" applyFont="1" applyFill="1" applyBorder="1" applyAlignment="1">
      <alignment horizontal="center"/>
    </xf>
    <xf numFmtId="0" fontId="53" fillId="4" borderId="53" xfId="0" applyFont="1" applyFill="1" applyBorder="1" applyAlignment="1">
      <alignment horizontal="center"/>
    </xf>
    <xf numFmtId="0" fontId="38" fillId="0" borderId="49" xfId="0" applyFont="1" applyBorder="1" applyAlignment="1">
      <alignment horizontal="left" wrapText="1"/>
    </xf>
    <xf numFmtId="0" fontId="38" fillId="0" borderId="0" xfId="0" applyFont="1" applyBorder="1" applyAlignment="1">
      <alignment horizontal="left" wrapText="1"/>
    </xf>
    <xf numFmtId="0" fontId="38" fillId="0" borderId="20" xfId="0" applyFont="1" applyBorder="1" applyAlignment="1">
      <alignment horizontal="left" wrapText="1"/>
    </xf>
    <xf numFmtId="0" fontId="40" fillId="11" borderId="0" xfId="0" applyFont="1" applyFill="1" applyBorder="1" applyAlignment="1">
      <alignment horizontal="left" wrapText="1"/>
    </xf>
    <xf numFmtId="0" fontId="40" fillId="11" borderId="36" xfId="0" applyFont="1" applyFill="1" applyBorder="1" applyAlignment="1">
      <alignment horizontal="left"/>
    </xf>
    <xf numFmtId="0" fontId="40" fillId="11" borderId="38" xfId="0" applyFont="1" applyFill="1" applyBorder="1" applyAlignment="1">
      <alignment horizontal="left"/>
    </xf>
    <xf numFmtId="0" fontId="40" fillId="11" borderId="21" xfId="0" applyFont="1" applyFill="1" applyBorder="1" applyAlignment="1">
      <alignment horizontal="left"/>
    </xf>
    <xf numFmtId="0" fontId="54" fillId="4" borderId="5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 vertical="center"/>
    </xf>
    <xf numFmtId="0" fontId="51" fillId="0" borderId="30" xfId="0" applyFont="1" applyBorder="1" applyAlignment="1">
      <alignment horizontal="center"/>
    </xf>
    <xf numFmtId="0" fontId="51" fillId="0" borderId="31" xfId="0" applyFont="1" applyBorder="1" applyAlignment="1">
      <alignment horizontal="center"/>
    </xf>
    <xf numFmtId="0" fontId="51" fillId="0" borderId="14" xfId="0" applyFont="1" applyBorder="1" applyAlignment="1">
      <alignment horizontal="center"/>
    </xf>
    <xf numFmtId="0" fontId="15" fillId="0" borderId="36" xfId="0" applyFont="1" applyFill="1" applyBorder="1" applyAlignment="1">
      <alignment horizontal="left" vertical="center"/>
    </xf>
    <xf numFmtId="0" fontId="15" fillId="0" borderId="38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43" fontId="5" fillId="0" borderId="36" xfId="1" applyFont="1" applyFill="1" applyBorder="1" applyAlignment="1">
      <alignment horizontal="left"/>
    </xf>
    <xf numFmtId="43" fontId="5" fillId="0" borderId="38" xfId="1" applyFont="1" applyFill="1" applyBorder="1" applyAlignment="1">
      <alignment horizontal="left"/>
    </xf>
    <xf numFmtId="43" fontId="5" fillId="0" borderId="21" xfId="1" applyFont="1" applyFill="1" applyBorder="1" applyAlignment="1">
      <alignment horizontal="left"/>
    </xf>
    <xf numFmtId="0" fontId="15" fillId="0" borderId="0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AFFE7"/>
      <color rgb="FFFFE9EA"/>
      <color rgb="FFE9FFE0"/>
      <color rgb="FF73FEFF"/>
      <color rgb="FFFFD7E9"/>
      <color rgb="FFFFFD78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ison Bramall" id="{974BF6C8-720E-E447-924B-0FDC7F30439D}" userId="1c17e314af2fa050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0" dT="2020-09-10T13:04:31.97" personId="{974BF6C8-720E-E447-924B-0FDC7F30439D}" id="{08D801C2-312F-A045-A081-186424AF80E8}">
    <text>Add to the budget</text>
  </threadedComment>
  <threadedComment ref="J31" dT="2021-02-02T16:12:55.04" personId="{974BF6C8-720E-E447-924B-0FDC7F30439D}" id="{142A15EC-B652-054A-BA9F-33F2695994F8}">
    <text xml:space="preserve">Overpaid by 20p
</text>
  </threadedComment>
  <threadedComment ref="K86" dT="2021-01-12T12:06:33.55" personId="{974BF6C8-720E-E447-924B-0FDC7F30439D}" id="{25DE81BA-1993-9E47-B4C2-449058F3768F}">
    <text>Payroll admin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56" dT="2020-09-10T13:04:31.97" personId="{974BF6C8-720E-E447-924B-0FDC7F30439D}" id="{DBEA3D93-CB86-4E43-AD28-AA701E141362}">
    <text>Add to the budget</text>
  </threadedComment>
  <threadedComment ref="E58" dT="2021-02-02T16:12:55.04" personId="{974BF6C8-720E-E447-924B-0FDC7F30439D}" id="{0DEF22FA-CA7F-E446-A9C4-141BBA0B70D2}">
    <text xml:space="preserve">Overpaid by 20p
</text>
  </threadedComment>
  <threadedComment ref="K117" dT="2021-01-12T12:06:33.55" personId="{974BF6C8-720E-E447-924B-0FDC7F30439D}" id="{8A66642F-11F7-DD49-9273-665C884A74B0}">
    <text>Payroll admin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9" dT="2021-02-02T16:12:55.04" personId="{974BF6C8-720E-E447-924B-0FDC7F30439D}" id="{B0958E1E-0C5F-CB42-80BC-19ABA4AB0DF0}">
    <text xml:space="preserve">Overpaid by 20p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67333-B6D4-E447-9FEA-DE194144B403}">
  <dimension ref="A1:AO191"/>
  <sheetViews>
    <sheetView workbookViewId="0">
      <pane ySplit="2200" topLeftCell="A14" activePane="bottomLeft"/>
      <selection activeCell="L1" sqref="L1"/>
      <selection pane="bottomLeft" activeCell="E44" sqref="E44"/>
    </sheetView>
  </sheetViews>
  <sheetFormatPr baseColWidth="10" defaultRowHeight="19" x14ac:dyDescent="0.25"/>
  <cols>
    <col min="1" max="1" width="21.5" style="431" customWidth="1"/>
    <col min="2" max="2" width="15.5" style="5" customWidth="1"/>
    <col min="3" max="3" width="32.6640625" customWidth="1"/>
    <col min="4" max="4" width="25" customWidth="1"/>
    <col min="5" max="5" width="18.33203125" style="3" customWidth="1"/>
    <col min="6" max="6" width="14.1640625" style="405" customWidth="1"/>
    <col min="7" max="7" width="33.1640625" style="116" customWidth="1"/>
    <col min="8" max="8" width="15.33203125" customWidth="1"/>
    <col min="9" max="9" width="16" customWidth="1"/>
    <col min="10" max="10" width="16.33203125" customWidth="1"/>
    <col min="11" max="11" width="11" customWidth="1"/>
    <col min="12" max="12" width="13.6640625" customWidth="1"/>
    <col min="13" max="15" width="13.6640625" style="15" customWidth="1"/>
    <col min="16" max="16" width="17.1640625" style="15" customWidth="1"/>
    <col min="17" max="20" width="13.6640625" style="15" customWidth="1"/>
    <col min="21" max="21" width="13.6640625" style="241" customWidth="1"/>
    <col min="22" max="22" width="13.6640625" customWidth="1"/>
    <col min="23" max="26" width="11" customWidth="1"/>
    <col min="27" max="27" width="8.5" customWidth="1"/>
    <col min="28" max="28" width="14" style="227" customWidth="1"/>
    <col min="29" max="31" width="16.6640625" customWidth="1"/>
    <col min="32" max="32" width="16.6640625" style="216" customWidth="1"/>
    <col min="33" max="34" width="16.6640625" customWidth="1"/>
    <col min="35" max="35" width="10.83203125" customWidth="1"/>
    <col min="36" max="36" width="16.5" customWidth="1"/>
    <col min="37" max="37" width="10.83203125" customWidth="1"/>
    <col min="38" max="38" width="13.1640625" customWidth="1"/>
    <col min="39" max="39" width="19.5" customWidth="1"/>
    <col min="40" max="40" width="14.5" style="19" customWidth="1"/>
  </cols>
  <sheetData>
    <row r="1" spans="1:40" s="2" customFormat="1" ht="88" x14ac:dyDescent="0.25">
      <c r="A1" s="274" t="s">
        <v>2</v>
      </c>
      <c r="B1" s="26" t="s">
        <v>6</v>
      </c>
      <c r="C1" s="25" t="s">
        <v>0</v>
      </c>
      <c r="D1" s="25" t="s">
        <v>1</v>
      </c>
      <c r="E1" s="27" t="s">
        <v>5</v>
      </c>
      <c r="F1" s="27" t="s">
        <v>22</v>
      </c>
      <c r="G1" s="25" t="s">
        <v>80</v>
      </c>
      <c r="H1" s="25" t="s">
        <v>305</v>
      </c>
      <c r="I1" s="25" t="s">
        <v>4</v>
      </c>
      <c r="J1" s="28" t="s">
        <v>21</v>
      </c>
      <c r="K1" s="25" t="s">
        <v>18</v>
      </c>
      <c r="L1" s="29" t="s">
        <v>323</v>
      </c>
      <c r="M1" s="29" t="s">
        <v>175</v>
      </c>
      <c r="N1" s="29" t="s">
        <v>23</v>
      </c>
      <c r="O1" s="29" t="s">
        <v>28</v>
      </c>
      <c r="P1" s="29" t="s">
        <v>24</v>
      </c>
      <c r="Q1" s="29" t="s">
        <v>29</v>
      </c>
      <c r="R1" s="29" t="s">
        <v>25</v>
      </c>
      <c r="S1" s="29" t="s">
        <v>27</v>
      </c>
      <c r="T1" s="29" t="s">
        <v>26</v>
      </c>
      <c r="U1" s="231" t="s">
        <v>167</v>
      </c>
      <c r="V1" s="30" t="s">
        <v>19</v>
      </c>
      <c r="W1" s="30" t="s">
        <v>32</v>
      </c>
      <c r="X1" s="30" t="s">
        <v>31</v>
      </c>
      <c r="Y1" s="30" t="s">
        <v>152</v>
      </c>
      <c r="Z1" s="30" t="s">
        <v>30</v>
      </c>
      <c r="AA1" s="30" t="s">
        <v>20</v>
      </c>
      <c r="AB1" s="217" t="s">
        <v>153</v>
      </c>
      <c r="AC1" s="30" t="s">
        <v>14</v>
      </c>
      <c r="AD1" s="167" t="s">
        <v>150</v>
      </c>
      <c r="AE1" s="167" t="s">
        <v>149</v>
      </c>
      <c r="AF1" s="209" t="s">
        <v>184</v>
      </c>
      <c r="AG1" s="6" t="s">
        <v>16</v>
      </c>
      <c r="AH1" s="6" t="s">
        <v>15</v>
      </c>
      <c r="AI1" s="6" t="s">
        <v>17</v>
      </c>
      <c r="AJ1" s="6" t="s">
        <v>33</v>
      </c>
      <c r="AK1" s="6" t="s">
        <v>34</v>
      </c>
      <c r="AL1" s="6" t="s">
        <v>35</v>
      </c>
      <c r="AM1" s="16" t="s">
        <v>12</v>
      </c>
      <c r="AN1" s="2" t="s">
        <v>40</v>
      </c>
    </row>
    <row r="2" spans="1:40" s="2" customFormat="1" ht="21" x14ac:dyDescent="0.25">
      <c r="A2" s="274"/>
      <c r="B2" s="26"/>
      <c r="C2" s="25"/>
      <c r="D2" s="25"/>
      <c r="E2" s="27"/>
      <c r="F2" s="27"/>
      <c r="G2" s="25"/>
      <c r="H2" s="25"/>
      <c r="I2" s="25"/>
      <c r="J2" s="28"/>
      <c r="K2" s="25"/>
      <c r="L2" s="29"/>
      <c r="M2" s="29"/>
      <c r="N2" s="29"/>
      <c r="O2" s="29"/>
      <c r="P2" s="29"/>
      <c r="Q2" s="29"/>
      <c r="R2" s="29"/>
      <c r="S2" s="29"/>
      <c r="T2" s="29"/>
      <c r="U2" s="231"/>
      <c r="V2" s="30"/>
      <c r="W2" s="30"/>
      <c r="X2" s="30"/>
      <c r="Y2" s="30"/>
      <c r="Z2" s="30"/>
      <c r="AA2" s="30"/>
      <c r="AB2" s="217"/>
      <c r="AC2" s="30"/>
      <c r="AD2" s="6"/>
      <c r="AE2" s="6"/>
      <c r="AF2" s="209"/>
      <c r="AG2" s="6"/>
      <c r="AH2" s="6"/>
      <c r="AI2" s="6"/>
      <c r="AJ2" s="6"/>
      <c r="AK2" s="6"/>
      <c r="AL2" s="6"/>
      <c r="AM2" s="16"/>
    </row>
    <row r="3" spans="1:40" s="8" customFormat="1" x14ac:dyDescent="0.25">
      <c r="A3" s="414" t="s">
        <v>100</v>
      </c>
      <c r="B3" s="31">
        <v>1202</v>
      </c>
      <c r="C3" s="32" t="s">
        <v>81</v>
      </c>
      <c r="D3" s="32" t="s">
        <v>99</v>
      </c>
      <c r="E3" s="33"/>
      <c r="F3" s="393">
        <v>101199</v>
      </c>
      <c r="G3" s="110" t="s">
        <v>90</v>
      </c>
      <c r="H3" s="117">
        <f>J3/1.2</f>
        <v>120.85833333333333</v>
      </c>
      <c r="I3" s="391">
        <f>J3-H3</f>
        <v>24.171666666666667</v>
      </c>
      <c r="J3" s="117">
        <v>145.03</v>
      </c>
      <c r="K3" s="32"/>
      <c r="L3" s="117">
        <f>J3</f>
        <v>145.03</v>
      </c>
      <c r="M3" s="32"/>
      <c r="N3" s="32"/>
      <c r="O3" s="32"/>
      <c r="P3" s="32"/>
      <c r="Q3" s="32"/>
      <c r="R3" s="32"/>
      <c r="S3" s="32"/>
      <c r="T3" s="32"/>
      <c r="U3" s="232"/>
      <c r="V3" s="32"/>
      <c r="W3" s="32"/>
      <c r="X3" s="32"/>
      <c r="Y3" s="32"/>
      <c r="Z3" s="32"/>
      <c r="AA3" s="32"/>
      <c r="AB3" s="218"/>
      <c r="AC3" s="32"/>
      <c r="AD3" s="13"/>
      <c r="AE3" s="13"/>
      <c r="AF3" s="210"/>
      <c r="AG3" s="7"/>
      <c r="AH3" s="7"/>
      <c r="AI3" s="7"/>
      <c r="AJ3" s="7"/>
      <c r="AK3" s="7"/>
      <c r="AL3" s="7"/>
      <c r="AM3" s="17"/>
      <c r="AN3" s="244">
        <f>SUM(L3:AM3)-AF3</f>
        <v>145.03</v>
      </c>
    </row>
    <row r="4" spans="1:40" s="8" customFormat="1" x14ac:dyDescent="0.25">
      <c r="A4" s="414" t="s">
        <v>100</v>
      </c>
      <c r="B4" s="31">
        <v>1256</v>
      </c>
      <c r="C4" s="32" t="s">
        <v>81</v>
      </c>
      <c r="D4" s="32" t="s">
        <v>99</v>
      </c>
      <c r="E4" s="33"/>
      <c r="F4" s="393">
        <v>101206</v>
      </c>
      <c r="G4" s="110" t="s">
        <v>90</v>
      </c>
      <c r="H4" s="32">
        <v>149.34</v>
      </c>
      <c r="I4" s="228">
        <v>29.87</v>
      </c>
      <c r="J4" s="117">
        <v>179.21</v>
      </c>
      <c r="K4" s="32"/>
      <c r="L4" s="32">
        <f>J4</f>
        <v>179.21</v>
      </c>
      <c r="M4" s="32"/>
      <c r="N4" s="32"/>
      <c r="O4" s="32"/>
      <c r="P4" s="32"/>
      <c r="Q4" s="32"/>
      <c r="R4" s="32"/>
      <c r="S4" s="32"/>
      <c r="T4" s="32"/>
      <c r="U4" s="232"/>
      <c r="V4" s="32"/>
      <c r="W4" s="32"/>
      <c r="X4" s="32"/>
      <c r="Y4" s="32"/>
      <c r="Z4" s="32"/>
      <c r="AA4" s="32"/>
      <c r="AB4" s="218"/>
      <c r="AC4" s="32"/>
      <c r="AD4" s="13"/>
      <c r="AE4" s="13"/>
      <c r="AF4" s="210"/>
      <c r="AG4" s="7"/>
      <c r="AH4" s="7"/>
      <c r="AI4" s="7"/>
      <c r="AJ4" s="7"/>
      <c r="AK4" s="7"/>
      <c r="AL4" s="7"/>
      <c r="AM4" s="17"/>
      <c r="AN4" s="244">
        <f t="shared" ref="AN4:AN47" si="0">SUM(L4:AM4)-AF4</f>
        <v>179.21</v>
      </c>
    </row>
    <row r="5" spans="1:40" s="8" customFormat="1" x14ac:dyDescent="0.25">
      <c r="A5" s="414" t="s">
        <v>100</v>
      </c>
      <c r="B5" s="31" t="s">
        <v>279</v>
      </c>
      <c r="C5" s="32" t="s">
        <v>82</v>
      </c>
      <c r="D5" s="32" t="s">
        <v>83</v>
      </c>
      <c r="E5" s="33"/>
      <c r="F5" s="393">
        <v>101200</v>
      </c>
      <c r="G5" s="175" t="s">
        <v>154</v>
      </c>
      <c r="H5" s="390">
        <f>J5</f>
        <v>50</v>
      </c>
      <c r="I5" s="391">
        <f>J5-H5</f>
        <v>0</v>
      </c>
      <c r="J5" s="117">
        <v>50</v>
      </c>
      <c r="K5" s="32"/>
      <c r="L5" s="32"/>
      <c r="M5" s="32"/>
      <c r="N5" s="32"/>
      <c r="O5" s="32"/>
      <c r="P5" s="32"/>
      <c r="Q5" s="32"/>
      <c r="R5" s="32"/>
      <c r="S5" s="32"/>
      <c r="T5" s="32"/>
      <c r="U5" s="232"/>
      <c r="V5" s="32"/>
      <c r="W5" s="32"/>
      <c r="X5" s="32"/>
      <c r="Y5" s="32"/>
      <c r="Z5" s="32"/>
      <c r="AA5" s="32"/>
      <c r="AB5" s="219">
        <f>J5</f>
        <v>50</v>
      </c>
      <c r="AC5" s="32"/>
      <c r="AD5" s="13"/>
      <c r="AE5" s="13"/>
      <c r="AF5" s="210"/>
      <c r="AG5" s="7"/>
      <c r="AH5" s="7"/>
      <c r="AI5" s="7"/>
      <c r="AJ5" s="7"/>
      <c r="AK5" s="7"/>
      <c r="AL5" s="7"/>
      <c r="AM5" s="17"/>
      <c r="AN5" s="244">
        <f t="shared" si="0"/>
        <v>50</v>
      </c>
    </row>
    <row r="6" spans="1:40" s="8" customFormat="1" x14ac:dyDescent="0.25">
      <c r="A6" s="414" t="s">
        <v>100</v>
      </c>
      <c r="B6" s="31">
        <v>980</v>
      </c>
      <c r="C6" s="32" t="s">
        <v>84</v>
      </c>
      <c r="D6" s="32" t="s">
        <v>85</v>
      </c>
      <c r="E6" s="33"/>
      <c r="F6" s="393">
        <v>101201</v>
      </c>
      <c r="G6" s="175" t="s">
        <v>154</v>
      </c>
      <c r="H6" s="390">
        <v>50</v>
      </c>
      <c r="I6" s="228">
        <v>10</v>
      </c>
      <c r="J6" s="117">
        <v>60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232"/>
      <c r="V6" s="32"/>
      <c r="W6" s="32"/>
      <c r="X6" s="32"/>
      <c r="Y6" s="32"/>
      <c r="Z6" s="32"/>
      <c r="AA6" s="32"/>
      <c r="AB6" s="219">
        <f>J6</f>
        <v>60</v>
      </c>
      <c r="AC6" s="32"/>
      <c r="AD6" s="13"/>
      <c r="AE6" s="13"/>
      <c r="AF6" s="210"/>
      <c r="AG6" s="7"/>
      <c r="AH6" s="7"/>
      <c r="AI6" s="7"/>
      <c r="AJ6" s="7"/>
      <c r="AK6" s="7"/>
      <c r="AL6" s="7"/>
      <c r="AM6" s="17"/>
      <c r="AN6" s="244">
        <f t="shared" si="0"/>
        <v>60</v>
      </c>
    </row>
    <row r="7" spans="1:40" s="8" customFormat="1" x14ac:dyDescent="0.25">
      <c r="A7" s="414" t="s">
        <v>100</v>
      </c>
      <c r="B7" s="31">
        <v>23128</v>
      </c>
      <c r="C7" s="32" t="s">
        <v>87</v>
      </c>
      <c r="D7" s="32" t="s">
        <v>86</v>
      </c>
      <c r="E7" s="33"/>
      <c r="F7" s="393">
        <v>101202</v>
      </c>
      <c r="G7" s="110" t="s">
        <v>90</v>
      </c>
      <c r="H7" s="390">
        <f>J7</f>
        <v>179.15</v>
      </c>
      <c r="I7" s="391">
        <f>J7-H7</f>
        <v>0</v>
      </c>
      <c r="J7" s="117">
        <v>179.15</v>
      </c>
      <c r="K7" s="32"/>
      <c r="L7" s="32"/>
      <c r="M7" s="32"/>
      <c r="N7" s="32"/>
      <c r="O7" s="32"/>
      <c r="P7" s="32"/>
      <c r="Q7" s="32"/>
      <c r="R7" s="32"/>
      <c r="S7" s="32"/>
      <c r="T7" s="32">
        <f>J7</f>
        <v>179.15</v>
      </c>
      <c r="U7" s="232"/>
      <c r="V7" s="32"/>
      <c r="W7" s="32"/>
      <c r="X7" s="32"/>
      <c r="Y7" s="32"/>
      <c r="Z7" s="32"/>
      <c r="AA7" s="32"/>
      <c r="AB7" s="218"/>
      <c r="AC7" s="32"/>
      <c r="AD7" s="13"/>
      <c r="AE7" s="13"/>
      <c r="AF7" s="210"/>
      <c r="AG7" s="7"/>
      <c r="AH7" s="7"/>
      <c r="AI7" s="7"/>
      <c r="AJ7" s="7"/>
      <c r="AK7" s="7"/>
      <c r="AL7" s="7"/>
      <c r="AM7" s="17"/>
      <c r="AN7" s="244">
        <f t="shared" si="0"/>
        <v>179.15</v>
      </c>
    </row>
    <row r="8" spans="1:40" s="8" customFormat="1" x14ac:dyDescent="0.25">
      <c r="A8" s="414" t="s">
        <v>100</v>
      </c>
      <c r="B8" s="31"/>
      <c r="C8" s="32" t="s">
        <v>81</v>
      </c>
      <c r="D8" s="32" t="s">
        <v>99</v>
      </c>
      <c r="E8" s="33"/>
      <c r="F8" s="393">
        <v>101203</v>
      </c>
      <c r="G8" s="110" t="s">
        <v>90</v>
      </c>
      <c r="H8" s="390">
        <f>J8/1.2</f>
        <v>364.20833333333337</v>
      </c>
      <c r="I8" s="391">
        <f>J8-H8</f>
        <v>72.84166666666664</v>
      </c>
      <c r="J8" s="117">
        <v>437.05</v>
      </c>
      <c r="K8" s="32"/>
      <c r="L8" s="32">
        <f>J8</f>
        <v>437.05</v>
      </c>
      <c r="M8" s="117"/>
      <c r="N8" s="32"/>
      <c r="O8" s="32"/>
      <c r="P8" s="32"/>
      <c r="Q8" s="32"/>
      <c r="R8" s="32"/>
      <c r="S8" s="32"/>
      <c r="T8" s="32"/>
      <c r="U8" s="232"/>
      <c r="V8" s="32"/>
      <c r="W8" s="32"/>
      <c r="X8" s="32"/>
      <c r="Y8" s="32"/>
      <c r="Z8" s="32"/>
      <c r="AA8" s="32"/>
      <c r="AB8" s="218"/>
      <c r="AC8" s="32"/>
      <c r="AD8" s="13"/>
      <c r="AE8" s="13"/>
      <c r="AF8" s="210"/>
      <c r="AG8" s="7"/>
      <c r="AH8" s="7"/>
      <c r="AI8" s="7"/>
      <c r="AJ8" s="7"/>
      <c r="AK8" s="7"/>
      <c r="AL8" s="7"/>
      <c r="AM8" s="17"/>
      <c r="AN8" s="244">
        <f t="shared" si="0"/>
        <v>437.05</v>
      </c>
    </row>
    <row r="9" spans="1:40" s="8" customFormat="1" x14ac:dyDescent="0.25">
      <c r="A9" s="414" t="s">
        <v>100</v>
      </c>
      <c r="B9" s="8" t="s">
        <v>255</v>
      </c>
      <c r="C9" s="32" t="s">
        <v>88</v>
      </c>
      <c r="D9" s="32" t="s">
        <v>98</v>
      </c>
      <c r="E9" s="33"/>
      <c r="F9" s="393">
        <v>101204</v>
      </c>
      <c r="G9" s="110" t="s">
        <v>90</v>
      </c>
      <c r="H9" s="32">
        <v>552</v>
      </c>
      <c r="I9" s="228">
        <v>110.4</v>
      </c>
      <c r="J9" s="117">
        <v>662.4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232"/>
      <c r="V9" s="89">
        <f>(37*4)*1.2</f>
        <v>177.6</v>
      </c>
      <c r="W9" s="89">
        <f>32*2*1.2</f>
        <v>76.8</v>
      </c>
      <c r="X9" s="89">
        <f>(37*4) *1.2</f>
        <v>177.6</v>
      </c>
      <c r="Y9" s="32"/>
      <c r="Z9" s="89">
        <f>(12*4)*1.2</f>
        <v>57.599999999999994</v>
      </c>
      <c r="AA9" s="32"/>
      <c r="AB9" s="218"/>
      <c r="AC9" s="32"/>
      <c r="AD9" s="13">
        <f>72*2*1.2</f>
        <v>172.79999999999998</v>
      </c>
      <c r="AE9" s="13"/>
      <c r="AF9" s="210">
        <f>SUM(V9:Z9)+AD9</f>
        <v>662.4</v>
      </c>
      <c r="AG9" s="7"/>
      <c r="AH9" s="7"/>
      <c r="AI9" s="7"/>
      <c r="AJ9" s="7"/>
      <c r="AK9" s="7"/>
      <c r="AL9" s="7"/>
      <c r="AM9" s="17"/>
      <c r="AN9" s="244">
        <f t="shared" si="0"/>
        <v>662.4</v>
      </c>
    </row>
    <row r="10" spans="1:40" s="8" customFormat="1" x14ac:dyDescent="0.25">
      <c r="A10" s="414" t="s">
        <v>100</v>
      </c>
      <c r="B10" s="31">
        <v>11460809160</v>
      </c>
      <c r="C10" s="32" t="s">
        <v>8</v>
      </c>
      <c r="D10" s="32" t="s">
        <v>89</v>
      </c>
      <c r="E10" s="33"/>
      <c r="F10" s="393">
        <v>101205</v>
      </c>
      <c r="G10" s="175" t="s">
        <v>154</v>
      </c>
      <c r="H10" s="32">
        <v>90.98</v>
      </c>
      <c r="I10" s="228">
        <v>0</v>
      </c>
      <c r="J10" s="117">
        <v>90.98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232"/>
      <c r="V10" s="32"/>
      <c r="W10" s="32"/>
      <c r="X10" s="32"/>
      <c r="Y10" s="32"/>
      <c r="Z10" s="32"/>
      <c r="AA10" s="32"/>
      <c r="AB10" s="219">
        <f>J10</f>
        <v>90.98</v>
      </c>
      <c r="AC10" s="32"/>
      <c r="AD10" s="13"/>
      <c r="AE10" s="13"/>
      <c r="AF10" s="210"/>
      <c r="AG10" s="7"/>
      <c r="AH10" s="7"/>
      <c r="AI10" s="7"/>
      <c r="AJ10" s="7"/>
      <c r="AK10" s="7"/>
      <c r="AL10" s="7"/>
      <c r="AM10" s="17"/>
      <c r="AN10" s="244">
        <f t="shared" si="0"/>
        <v>90.98</v>
      </c>
    </row>
    <row r="11" spans="1:40" s="8" customFormat="1" x14ac:dyDescent="0.25">
      <c r="A11" s="414" t="s">
        <v>100</v>
      </c>
      <c r="B11" s="31"/>
      <c r="C11" s="32" t="s">
        <v>91</v>
      </c>
      <c r="D11" s="32" t="s">
        <v>92</v>
      </c>
      <c r="E11" s="33"/>
      <c r="F11" s="393">
        <v>101207</v>
      </c>
      <c r="G11" s="242" t="s">
        <v>93</v>
      </c>
      <c r="H11" s="32">
        <v>50</v>
      </c>
      <c r="I11" s="228">
        <v>10</v>
      </c>
      <c r="J11" s="117">
        <v>60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232"/>
      <c r="V11" s="32"/>
      <c r="W11" s="32"/>
      <c r="X11" s="32"/>
      <c r="Y11" s="32"/>
      <c r="Z11" s="32"/>
      <c r="AA11" s="32"/>
      <c r="AB11" s="218"/>
      <c r="AC11" s="32"/>
      <c r="AD11" s="13"/>
      <c r="AE11" s="13"/>
      <c r="AF11" s="210"/>
      <c r="AG11" s="7"/>
      <c r="AH11" s="7"/>
      <c r="AI11" s="7"/>
      <c r="AJ11" s="7"/>
      <c r="AK11" s="7"/>
      <c r="AL11" s="7">
        <f>J11</f>
        <v>60</v>
      </c>
      <c r="AM11" s="17"/>
      <c r="AN11" s="244">
        <f t="shared" si="0"/>
        <v>60</v>
      </c>
    </row>
    <row r="12" spans="1:40" s="8" customFormat="1" x14ac:dyDescent="0.25">
      <c r="A12" s="414" t="s">
        <v>100</v>
      </c>
      <c r="B12" s="31">
        <v>1284</v>
      </c>
      <c r="C12" s="32" t="s">
        <v>81</v>
      </c>
      <c r="D12" s="32" t="s">
        <v>99</v>
      </c>
      <c r="E12" s="33"/>
      <c r="F12" s="393">
        <v>101206</v>
      </c>
      <c r="G12" s="110" t="s">
        <v>90</v>
      </c>
      <c r="H12" s="32">
        <v>124.45</v>
      </c>
      <c r="I12" s="228">
        <v>24.89</v>
      </c>
      <c r="J12" s="117">
        <v>149.34</v>
      </c>
      <c r="K12" s="32"/>
      <c r="L12" s="32">
        <f>J12</f>
        <v>149.34</v>
      </c>
      <c r="M12" s="32"/>
      <c r="N12" s="32"/>
      <c r="O12" s="32"/>
      <c r="P12" s="32"/>
      <c r="Q12" s="32"/>
      <c r="R12" s="32"/>
      <c r="S12" s="32"/>
      <c r="T12" s="32"/>
      <c r="U12" s="232"/>
      <c r="V12" s="32"/>
      <c r="W12" s="32"/>
      <c r="X12" s="32"/>
      <c r="Y12" s="32"/>
      <c r="Z12" s="32"/>
      <c r="AA12" s="32"/>
      <c r="AB12" s="218"/>
      <c r="AC12" s="32"/>
      <c r="AD12" s="13"/>
      <c r="AE12" s="13"/>
      <c r="AF12" s="210"/>
      <c r="AG12" s="7"/>
      <c r="AH12" s="7"/>
      <c r="AI12" s="7"/>
      <c r="AJ12" s="7"/>
      <c r="AK12" s="7"/>
      <c r="AL12" s="7"/>
      <c r="AM12" s="17"/>
      <c r="AN12" s="244">
        <f t="shared" si="0"/>
        <v>149.34</v>
      </c>
    </row>
    <row r="13" spans="1:40" s="8" customFormat="1" x14ac:dyDescent="0.25">
      <c r="A13" s="414" t="s">
        <v>100</v>
      </c>
      <c r="B13" s="31"/>
      <c r="C13" s="32" t="s">
        <v>94</v>
      </c>
      <c r="D13" s="32" t="s">
        <v>95</v>
      </c>
      <c r="E13" s="33"/>
      <c r="F13" s="393" t="s">
        <v>280</v>
      </c>
      <c r="G13" s="110" t="s">
        <v>96</v>
      </c>
      <c r="H13" s="32">
        <v>95.92</v>
      </c>
      <c r="I13" s="391">
        <f>J13-H13</f>
        <v>19.179999999999993</v>
      </c>
      <c r="J13" s="117">
        <f>95.92+19.18</f>
        <v>115.1</v>
      </c>
      <c r="K13" s="32"/>
      <c r="L13" s="32"/>
      <c r="M13" s="32"/>
      <c r="N13" s="32"/>
      <c r="O13" s="32"/>
      <c r="P13" s="32"/>
      <c r="Q13" s="32"/>
      <c r="R13" s="32"/>
      <c r="S13" s="32">
        <f>J13</f>
        <v>115.1</v>
      </c>
      <c r="T13" s="32"/>
      <c r="U13" s="232"/>
      <c r="V13" s="32"/>
      <c r="W13" s="32"/>
      <c r="X13" s="32"/>
      <c r="Y13" s="32"/>
      <c r="Z13" s="32"/>
      <c r="AA13" s="32"/>
      <c r="AB13" s="218"/>
      <c r="AC13" s="32"/>
      <c r="AD13" s="13"/>
      <c r="AE13" s="13"/>
      <c r="AF13" s="210"/>
      <c r="AG13" s="7"/>
      <c r="AH13" s="7"/>
      <c r="AI13" s="7"/>
      <c r="AJ13" s="7"/>
      <c r="AK13" s="7"/>
      <c r="AL13" s="7"/>
      <c r="AM13" s="17"/>
      <c r="AN13" s="244">
        <f t="shared" si="0"/>
        <v>115.1</v>
      </c>
    </row>
    <row r="14" spans="1:40" s="8" customFormat="1" x14ac:dyDescent="0.25">
      <c r="A14" s="414" t="s">
        <v>100</v>
      </c>
      <c r="B14" s="31">
        <v>1269</v>
      </c>
      <c r="C14" s="32" t="s">
        <v>81</v>
      </c>
      <c r="D14" s="32" t="s">
        <v>99</v>
      </c>
      <c r="E14" s="33"/>
      <c r="F14" s="393">
        <v>101206</v>
      </c>
      <c r="G14" s="110" t="s">
        <v>90</v>
      </c>
      <c r="H14" s="32">
        <v>174.23</v>
      </c>
      <c r="I14" s="228">
        <v>34.85</v>
      </c>
      <c r="J14" s="117">
        <v>209.08</v>
      </c>
      <c r="K14" s="32"/>
      <c r="L14" s="32">
        <f>J14</f>
        <v>209.08</v>
      </c>
      <c r="M14" s="32"/>
      <c r="N14" s="32"/>
      <c r="O14" s="32"/>
      <c r="P14" s="32"/>
      <c r="Q14" s="32"/>
      <c r="R14" s="32"/>
      <c r="S14" s="32"/>
      <c r="T14" s="32"/>
      <c r="U14" s="232"/>
      <c r="V14" s="32"/>
      <c r="W14" s="32"/>
      <c r="X14" s="32"/>
      <c r="Y14" s="32"/>
      <c r="Z14" s="32"/>
      <c r="AA14" s="32"/>
      <c r="AB14" s="218"/>
      <c r="AC14" s="32"/>
      <c r="AD14" s="13"/>
      <c r="AE14" s="13"/>
      <c r="AF14" s="210"/>
      <c r="AG14" s="7"/>
      <c r="AH14" s="7"/>
      <c r="AI14" s="7"/>
      <c r="AJ14" s="7"/>
      <c r="AK14" s="7"/>
      <c r="AL14" s="7"/>
      <c r="AM14" s="17"/>
      <c r="AN14" s="244">
        <f t="shared" si="0"/>
        <v>209.08</v>
      </c>
    </row>
    <row r="15" spans="1:40" s="8" customFormat="1" x14ac:dyDescent="0.25">
      <c r="A15" s="414" t="s">
        <v>100</v>
      </c>
      <c r="B15" s="31">
        <v>1367</v>
      </c>
      <c r="C15" s="32" t="s">
        <v>81</v>
      </c>
      <c r="D15" s="32" t="s">
        <v>99</v>
      </c>
      <c r="E15" s="33"/>
      <c r="F15" s="393">
        <v>101208</v>
      </c>
      <c r="G15" s="110" t="s">
        <v>90</v>
      </c>
      <c r="H15" s="117">
        <f>J15/1.2</f>
        <v>497.80833333333334</v>
      </c>
      <c r="I15" s="391">
        <f>J15-H15</f>
        <v>99.561666666666667</v>
      </c>
      <c r="J15" s="117">
        <v>597.37</v>
      </c>
      <c r="K15" s="32"/>
      <c r="L15" s="117">
        <f>J15</f>
        <v>597.37</v>
      </c>
      <c r="M15" s="32"/>
      <c r="N15" s="32"/>
      <c r="O15" s="32"/>
      <c r="P15" s="32"/>
      <c r="Q15" s="32"/>
      <c r="R15" s="32"/>
      <c r="S15" s="32"/>
      <c r="T15" s="32"/>
      <c r="U15" s="232"/>
      <c r="V15" s="32"/>
      <c r="W15" s="32"/>
      <c r="X15" s="32"/>
      <c r="Y15" s="32"/>
      <c r="Z15" s="32"/>
      <c r="AA15" s="32"/>
      <c r="AB15" s="218"/>
      <c r="AC15" s="32"/>
      <c r="AD15" s="13"/>
      <c r="AE15" s="13"/>
      <c r="AF15" s="210"/>
      <c r="AG15" s="7"/>
      <c r="AH15" s="7"/>
      <c r="AI15" s="7"/>
      <c r="AJ15" s="7"/>
      <c r="AK15" s="7"/>
      <c r="AL15" s="7"/>
      <c r="AM15" s="17"/>
      <c r="AN15" s="244">
        <f t="shared" si="0"/>
        <v>597.37</v>
      </c>
    </row>
    <row r="16" spans="1:40" s="8" customFormat="1" x14ac:dyDescent="0.25">
      <c r="A16" s="414" t="s">
        <v>100</v>
      </c>
      <c r="B16" s="31"/>
      <c r="C16" s="32" t="s">
        <v>81</v>
      </c>
      <c r="D16" s="32" t="s">
        <v>99</v>
      </c>
      <c r="E16" s="33"/>
      <c r="F16" s="393">
        <v>101211</v>
      </c>
      <c r="G16" s="110" t="s">
        <v>90</v>
      </c>
      <c r="H16" s="117">
        <f>J16/1.2</f>
        <v>398.24166666666667</v>
      </c>
      <c r="I16" s="391">
        <f>J16-H16</f>
        <v>79.648333333333312</v>
      </c>
      <c r="J16" s="117">
        <v>477.89</v>
      </c>
      <c r="K16" s="32"/>
      <c r="L16" s="117">
        <f>J16</f>
        <v>477.89</v>
      </c>
      <c r="M16" s="32"/>
      <c r="N16" s="32"/>
      <c r="O16" s="32"/>
      <c r="P16" s="32"/>
      <c r="Q16" s="32"/>
      <c r="R16" s="32"/>
      <c r="S16" s="32"/>
      <c r="T16" s="32"/>
      <c r="U16" s="232"/>
      <c r="V16" s="32"/>
      <c r="W16" s="32"/>
      <c r="X16" s="32"/>
      <c r="Y16" s="32"/>
      <c r="Z16" s="32"/>
      <c r="AA16" s="32"/>
      <c r="AB16" s="218"/>
      <c r="AC16" s="32"/>
      <c r="AD16" s="13"/>
      <c r="AE16" s="13"/>
      <c r="AF16" s="210"/>
      <c r="AG16" s="7"/>
      <c r="AH16" s="7"/>
      <c r="AI16" s="7"/>
      <c r="AJ16" s="7"/>
      <c r="AK16" s="7"/>
      <c r="AL16" s="7"/>
      <c r="AM16" s="17"/>
      <c r="AN16" s="244">
        <f t="shared" si="0"/>
        <v>477.89</v>
      </c>
    </row>
    <row r="17" spans="1:40" s="8" customFormat="1" x14ac:dyDescent="0.25">
      <c r="A17" s="414" t="s">
        <v>100</v>
      </c>
      <c r="B17" s="31">
        <v>3053</v>
      </c>
      <c r="C17" s="32" t="s">
        <v>97</v>
      </c>
      <c r="D17" s="32" t="s">
        <v>98</v>
      </c>
      <c r="E17" s="33"/>
      <c r="F17" s="393">
        <v>101212</v>
      </c>
      <c r="G17" s="110" t="s">
        <v>90</v>
      </c>
      <c r="H17" s="32">
        <f>J17/1.2</f>
        <v>276</v>
      </c>
      <c r="I17" s="391">
        <f>J17-H17</f>
        <v>55.199999999999989</v>
      </c>
      <c r="J17" s="117">
        <v>331.2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232"/>
      <c r="V17" s="32">
        <f>37*2*1.2</f>
        <v>88.8</v>
      </c>
      <c r="W17" s="32">
        <f>32*1.2</f>
        <v>38.4</v>
      </c>
      <c r="X17" s="32">
        <f>37*2*1.2</f>
        <v>88.8</v>
      </c>
      <c r="Y17" s="32"/>
      <c r="Z17" s="32">
        <f>12*2*1.2</f>
        <v>28.799999999999997</v>
      </c>
      <c r="AA17" s="32"/>
      <c r="AB17" s="218"/>
      <c r="AC17" s="32"/>
      <c r="AD17" s="13">
        <f>72*1.2</f>
        <v>86.399999999999991</v>
      </c>
      <c r="AE17" s="13"/>
      <c r="AF17" s="210">
        <f>SUM(V17:Z17)+AD17</f>
        <v>331.2</v>
      </c>
      <c r="AG17" s="7"/>
      <c r="AH17" s="7"/>
      <c r="AI17" s="7"/>
      <c r="AJ17" s="7"/>
      <c r="AK17" s="7"/>
      <c r="AL17" s="7"/>
      <c r="AM17" s="17"/>
      <c r="AN17" s="244">
        <f t="shared" si="0"/>
        <v>331.2</v>
      </c>
    </row>
    <row r="18" spans="1:40" s="8" customFormat="1" x14ac:dyDescent="0.25">
      <c r="A18" s="414">
        <v>44033</v>
      </c>
      <c r="B18" s="31"/>
      <c r="C18" s="32" t="s">
        <v>112</v>
      </c>
      <c r="D18" s="32" t="s">
        <v>113</v>
      </c>
      <c r="E18" s="33"/>
      <c r="F18" s="393">
        <v>101213</v>
      </c>
      <c r="G18" s="175" t="s">
        <v>154</v>
      </c>
      <c r="H18" s="32">
        <v>230</v>
      </c>
      <c r="I18" s="228">
        <v>46</v>
      </c>
      <c r="J18" s="117">
        <v>276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232"/>
      <c r="V18" s="32"/>
      <c r="W18" s="32"/>
      <c r="X18" s="32"/>
      <c r="Y18" s="32"/>
      <c r="Z18" s="32"/>
      <c r="AA18" s="32"/>
      <c r="AB18" s="219">
        <f>J18</f>
        <v>276</v>
      </c>
      <c r="AC18" s="32"/>
      <c r="AD18" s="13"/>
      <c r="AE18" s="13"/>
      <c r="AF18" s="210"/>
      <c r="AG18" s="7"/>
      <c r="AH18" s="7"/>
      <c r="AI18" s="7"/>
      <c r="AJ18" s="7"/>
      <c r="AK18" s="7"/>
      <c r="AL18" s="7"/>
      <c r="AM18" s="17"/>
      <c r="AN18" s="244">
        <f t="shared" si="0"/>
        <v>276</v>
      </c>
    </row>
    <row r="19" spans="1:40" s="8" customFormat="1" x14ac:dyDescent="0.25">
      <c r="A19" s="414">
        <v>44041</v>
      </c>
      <c r="B19" s="31">
        <v>3084</v>
      </c>
      <c r="C19" s="32" t="s">
        <v>114</v>
      </c>
      <c r="D19" s="32" t="s">
        <v>98</v>
      </c>
      <c r="E19" s="33"/>
      <c r="F19" s="393">
        <v>101214</v>
      </c>
      <c r="G19" s="110" t="s">
        <v>90</v>
      </c>
      <c r="H19" s="32">
        <v>308</v>
      </c>
      <c r="I19" s="228">
        <v>61.6</v>
      </c>
      <c r="J19" s="117">
        <v>369.6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232"/>
      <c r="V19" s="105">
        <f>37*1.2*2</f>
        <v>88.8</v>
      </c>
      <c r="W19" s="105">
        <f>32*2*1.2</f>
        <v>76.8</v>
      </c>
      <c r="X19" s="105">
        <f>37*2*1.2</f>
        <v>88.8</v>
      </c>
      <c r="Y19" s="32"/>
      <c r="Z19" s="105">
        <f>12*1.2*2</f>
        <v>28.799999999999997</v>
      </c>
      <c r="AA19" s="32"/>
      <c r="AB19" s="218"/>
      <c r="AC19" s="32"/>
      <c r="AD19" s="106">
        <f>72*1.2</f>
        <v>86.399999999999991</v>
      </c>
      <c r="AE19" s="106"/>
      <c r="AF19" s="210">
        <f>SUM(V19:Z19)+AD19</f>
        <v>369.59999999999997</v>
      </c>
      <c r="AG19" s="7"/>
      <c r="AH19" s="7"/>
      <c r="AI19" s="7"/>
      <c r="AJ19" s="7"/>
      <c r="AK19" s="7"/>
      <c r="AL19" s="7"/>
      <c r="AM19" s="17"/>
      <c r="AN19" s="244">
        <f t="shared" si="0"/>
        <v>369.59999999999997</v>
      </c>
    </row>
    <row r="20" spans="1:40" s="8" customFormat="1" x14ac:dyDescent="0.25">
      <c r="A20" s="414">
        <v>44041</v>
      </c>
      <c r="B20" s="31">
        <v>3039212</v>
      </c>
      <c r="C20" s="32" t="s">
        <v>115</v>
      </c>
      <c r="D20" s="32" t="s">
        <v>113</v>
      </c>
      <c r="E20" s="33"/>
      <c r="F20" s="393">
        <v>101215</v>
      </c>
      <c r="G20" s="175" t="s">
        <v>155</v>
      </c>
      <c r="H20" s="32">
        <v>294.77</v>
      </c>
      <c r="I20" s="228">
        <v>58.95</v>
      </c>
      <c r="J20" s="117">
        <v>353.72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232"/>
      <c r="V20" s="32"/>
      <c r="W20" s="32"/>
      <c r="X20" s="32"/>
      <c r="Y20" s="32"/>
      <c r="Z20" s="32"/>
      <c r="AA20" s="32"/>
      <c r="AB20" s="219">
        <f>J20</f>
        <v>353.72</v>
      </c>
      <c r="AC20" s="32"/>
      <c r="AD20" s="13"/>
      <c r="AE20" s="13"/>
      <c r="AF20" s="210"/>
      <c r="AG20" s="7"/>
      <c r="AH20" s="7"/>
      <c r="AI20" s="7"/>
      <c r="AJ20" s="7"/>
      <c r="AK20" s="7"/>
      <c r="AL20" s="7"/>
      <c r="AM20" s="17"/>
      <c r="AN20" s="244">
        <f t="shared" si="0"/>
        <v>353.72</v>
      </c>
    </row>
    <row r="21" spans="1:40" s="8" customFormat="1" x14ac:dyDescent="0.25">
      <c r="A21" s="414">
        <v>44041</v>
      </c>
      <c r="B21" s="31">
        <v>7423</v>
      </c>
      <c r="C21" s="32" t="s">
        <v>116</v>
      </c>
      <c r="D21" s="32" t="s">
        <v>117</v>
      </c>
      <c r="E21" s="33"/>
      <c r="F21" s="393">
        <v>101216</v>
      </c>
      <c r="G21" s="175" t="s">
        <v>154</v>
      </c>
      <c r="H21" s="32">
        <v>30.4</v>
      </c>
      <c r="I21" s="228">
        <v>6.08</v>
      </c>
      <c r="J21" s="117">
        <v>36.479999999999997</v>
      </c>
      <c r="K21" s="32"/>
      <c r="L21" s="32"/>
      <c r="M21" s="126"/>
      <c r="N21" s="32"/>
      <c r="O21" s="32"/>
      <c r="P21" s="32"/>
      <c r="Q21" s="32"/>
      <c r="R21" s="32"/>
      <c r="S21" s="32"/>
      <c r="T21" s="32"/>
      <c r="U21" s="232"/>
      <c r="V21" s="32"/>
      <c r="W21" s="32"/>
      <c r="X21" s="32"/>
      <c r="Y21" s="32"/>
      <c r="Z21" s="32"/>
      <c r="AA21" s="32"/>
      <c r="AB21" s="219">
        <f>J21</f>
        <v>36.479999999999997</v>
      </c>
      <c r="AC21" s="32"/>
      <c r="AD21" s="13"/>
      <c r="AE21" s="13"/>
      <c r="AF21" s="210"/>
      <c r="AG21" s="7"/>
      <c r="AH21" s="7"/>
      <c r="AI21" s="7"/>
      <c r="AJ21" s="7"/>
      <c r="AK21" s="7"/>
      <c r="AL21" s="7"/>
      <c r="AM21" s="17"/>
      <c r="AN21" s="244">
        <f t="shared" si="0"/>
        <v>36.479999999999997</v>
      </c>
    </row>
    <row r="22" spans="1:40" s="8" customFormat="1" x14ac:dyDescent="0.25">
      <c r="A22" s="414">
        <v>44067</v>
      </c>
      <c r="B22" s="104">
        <v>44044</v>
      </c>
      <c r="C22" s="32" t="s">
        <v>118</v>
      </c>
      <c r="D22" s="32" t="s">
        <v>119</v>
      </c>
      <c r="E22" s="33"/>
      <c r="F22" s="393">
        <v>101218</v>
      </c>
      <c r="G22" s="110" t="s">
        <v>90</v>
      </c>
      <c r="H22" s="32">
        <v>150</v>
      </c>
      <c r="I22" s="228">
        <v>0</v>
      </c>
      <c r="J22" s="117">
        <v>150</v>
      </c>
      <c r="K22" s="32"/>
      <c r="L22" s="32"/>
      <c r="M22" s="125"/>
      <c r="N22" s="32"/>
      <c r="O22" s="117">
        <f>J22</f>
        <v>150</v>
      </c>
      <c r="P22" s="32"/>
      <c r="Q22" s="32"/>
      <c r="R22" s="32"/>
      <c r="S22" s="32"/>
      <c r="T22" s="32"/>
      <c r="U22" s="232"/>
      <c r="V22" s="32"/>
      <c r="W22" s="32"/>
      <c r="X22" s="32"/>
      <c r="Y22" s="32"/>
      <c r="Z22" s="32"/>
      <c r="AA22" s="32"/>
      <c r="AB22" s="218"/>
      <c r="AC22" s="32"/>
      <c r="AD22" s="13"/>
      <c r="AE22" s="13"/>
      <c r="AF22" s="210"/>
      <c r="AG22" s="7"/>
      <c r="AH22" s="7"/>
      <c r="AI22" s="7"/>
      <c r="AJ22" s="7"/>
      <c r="AK22" s="7"/>
      <c r="AL22" s="7"/>
      <c r="AM22" s="17"/>
      <c r="AN22" s="244">
        <f t="shared" si="0"/>
        <v>150</v>
      </c>
    </row>
    <row r="23" spans="1:40" s="8" customFormat="1" x14ac:dyDescent="0.25">
      <c r="A23" s="414">
        <v>44056</v>
      </c>
      <c r="B23" s="31">
        <v>1464</v>
      </c>
      <c r="C23" s="32" t="s">
        <v>13</v>
      </c>
      <c r="D23" s="32" t="s">
        <v>99</v>
      </c>
      <c r="E23" s="33"/>
      <c r="F23" s="393" t="s">
        <v>223</v>
      </c>
      <c r="G23" s="110" t="s">
        <v>90</v>
      </c>
      <c r="H23" s="32">
        <v>813.07</v>
      </c>
      <c r="I23" s="228">
        <v>162.61000000000001</v>
      </c>
      <c r="J23" s="117">
        <v>975.68</v>
      </c>
      <c r="K23" s="32"/>
      <c r="L23" s="32">
        <f>J23</f>
        <v>975.68</v>
      </c>
      <c r="M23" s="125"/>
      <c r="N23" s="32"/>
      <c r="O23" s="32"/>
      <c r="P23" s="32"/>
      <c r="Q23" s="32"/>
      <c r="R23" s="32"/>
      <c r="S23" s="32"/>
      <c r="T23" s="32"/>
      <c r="U23" s="232"/>
      <c r="V23" s="32"/>
      <c r="W23" s="32"/>
      <c r="X23" s="32"/>
      <c r="Y23" s="32"/>
      <c r="Z23" s="32"/>
      <c r="AA23" s="32"/>
      <c r="AB23" s="218"/>
      <c r="AC23" s="32"/>
      <c r="AD23" s="13"/>
      <c r="AE23" s="13"/>
      <c r="AF23" s="210"/>
      <c r="AG23" s="7"/>
      <c r="AH23" s="7"/>
      <c r="AI23" s="7"/>
      <c r="AJ23" s="7"/>
      <c r="AK23" s="7"/>
      <c r="AL23" s="7"/>
      <c r="AM23" s="17"/>
      <c r="AN23" s="244">
        <f t="shared" si="0"/>
        <v>975.68</v>
      </c>
    </row>
    <row r="24" spans="1:40" s="8" customFormat="1" x14ac:dyDescent="0.25">
      <c r="A24" s="414">
        <v>44059</v>
      </c>
      <c r="B24" s="31">
        <v>4310</v>
      </c>
      <c r="C24" s="32" t="s">
        <v>120</v>
      </c>
      <c r="D24" s="32" t="s">
        <v>121</v>
      </c>
      <c r="E24" s="33"/>
      <c r="F24" s="393">
        <v>101220</v>
      </c>
      <c r="G24" s="175" t="s">
        <v>154</v>
      </c>
      <c r="H24" s="32">
        <v>260</v>
      </c>
      <c r="I24" s="228">
        <v>52</v>
      </c>
      <c r="J24" s="117">
        <v>312</v>
      </c>
      <c r="K24" s="32"/>
      <c r="L24" s="32"/>
      <c r="M24" s="125"/>
      <c r="N24" s="32"/>
      <c r="O24" s="32"/>
      <c r="P24" s="32"/>
      <c r="Q24" s="32"/>
      <c r="R24" s="32"/>
      <c r="S24" s="32"/>
      <c r="T24" s="32"/>
      <c r="U24" s="232"/>
      <c r="V24" s="32"/>
      <c r="W24" s="32"/>
      <c r="X24" s="32"/>
      <c r="Y24" s="32"/>
      <c r="Z24" s="32"/>
      <c r="AA24" s="32"/>
      <c r="AB24" s="219">
        <f>J24</f>
        <v>312</v>
      </c>
      <c r="AC24" s="32"/>
      <c r="AD24" s="13"/>
      <c r="AE24" s="13"/>
      <c r="AF24" s="210"/>
      <c r="AG24" s="7"/>
      <c r="AH24" s="7"/>
      <c r="AI24" s="7"/>
      <c r="AJ24" s="7"/>
      <c r="AK24" s="7"/>
      <c r="AL24" s="7"/>
      <c r="AM24" s="17"/>
      <c r="AN24" s="244">
        <f t="shared" si="0"/>
        <v>312</v>
      </c>
    </row>
    <row r="25" spans="1:40" s="8" customFormat="1" x14ac:dyDescent="0.25">
      <c r="A25" s="414">
        <v>44013</v>
      </c>
      <c r="B25" s="31">
        <v>3097</v>
      </c>
      <c r="C25" s="32" t="s">
        <v>122</v>
      </c>
      <c r="D25" s="32" t="s">
        <v>98</v>
      </c>
      <c r="E25" s="33"/>
      <c r="F25" s="393">
        <v>101217</v>
      </c>
      <c r="G25" s="110" t="s">
        <v>90</v>
      </c>
      <c r="H25" s="32">
        <v>394</v>
      </c>
      <c r="I25" s="228">
        <v>78.8</v>
      </c>
      <c r="J25" s="117">
        <v>472.8</v>
      </c>
      <c r="K25" s="32"/>
      <c r="L25" s="125"/>
      <c r="M25" s="125"/>
      <c r="N25" s="32"/>
      <c r="O25" s="32"/>
      <c r="P25" s="32"/>
      <c r="Q25" s="32"/>
      <c r="R25" s="32"/>
      <c r="S25" s="32"/>
      <c r="T25" s="32"/>
      <c r="U25" s="232"/>
      <c r="V25" s="107">
        <f>37*1.2*3</f>
        <v>133.19999999999999</v>
      </c>
      <c r="W25" s="107">
        <f>32*2*1.2</f>
        <v>76.8</v>
      </c>
      <c r="X25" s="107">
        <f>37*3*1.2</f>
        <v>133.19999999999999</v>
      </c>
      <c r="Y25" s="32"/>
      <c r="Z25" s="107">
        <f>12*1.2*3</f>
        <v>43.199999999999996</v>
      </c>
      <c r="AA25" s="32"/>
      <c r="AB25" s="218"/>
      <c r="AC25" s="32"/>
      <c r="AD25" s="108">
        <f>72*1.2</f>
        <v>86.399999999999991</v>
      </c>
      <c r="AE25" s="108"/>
      <c r="AF25" s="210">
        <f>SUM(V25:Z25)+AD25</f>
        <v>472.79999999999995</v>
      </c>
      <c r="AG25" s="7"/>
      <c r="AH25" s="7"/>
      <c r="AI25" s="7"/>
      <c r="AJ25" s="7"/>
      <c r="AK25" s="7"/>
      <c r="AL25" s="7"/>
      <c r="AM25" s="17"/>
      <c r="AN25" s="244">
        <f t="shared" si="0"/>
        <v>472.79999999999995</v>
      </c>
    </row>
    <row r="26" spans="1:40" s="8" customFormat="1" x14ac:dyDescent="0.25">
      <c r="A26" s="414">
        <v>44083</v>
      </c>
      <c r="B26" s="31">
        <v>3133</v>
      </c>
      <c r="C26" s="32" t="s">
        <v>132</v>
      </c>
      <c r="D26" s="32" t="s">
        <v>98</v>
      </c>
      <c r="E26" s="33"/>
      <c r="F26" s="393">
        <v>101217</v>
      </c>
      <c r="G26" s="110" t="s">
        <v>90</v>
      </c>
      <c r="H26" s="32">
        <v>118</v>
      </c>
      <c r="I26" s="228">
        <v>23.6</v>
      </c>
      <c r="J26" s="32">
        <v>141.6</v>
      </c>
      <c r="K26" s="32"/>
      <c r="L26" s="125"/>
      <c r="M26" s="125"/>
      <c r="N26" s="32"/>
      <c r="O26" s="32"/>
      <c r="P26" s="32"/>
      <c r="Q26" s="32"/>
      <c r="R26" s="32"/>
      <c r="S26" s="32"/>
      <c r="T26" s="32"/>
      <c r="U26" s="232"/>
      <c r="V26" s="107">
        <f>37*1.2</f>
        <v>44.4</v>
      </c>
      <c r="W26" s="107">
        <f>32*1.2</f>
        <v>38.4</v>
      </c>
      <c r="X26" s="107">
        <f>37*1.2</f>
        <v>44.4</v>
      </c>
      <c r="Y26" s="32"/>
      <c r="Z26" s="107">
        <f>12*1.2</f>
        <v>14.399999999999999</v>
      </c>
      <c r="AA26" s="32"/>
      <c r="AB26" s="218"/>
      <c r="AC26" s="32"/>
      <c r="AD26" s="13"/>
      <c r="AE26" s="13"/>
      <c r="AF26" s="210">
        <f>SUM(V26:Z26)+AD26</f>
        <v>141.6</v>
      </c>
      <c r="AG26" s="7"/>
      <c r="AH26" s="7"/>
      <c r="AI26" s="7"/>
      <c r="AJ26" s="7"/>
      <c r="AK26" s="7"/>
      <c r="AL26" s="7"/>
      <c r="AM26" s="17"/>
      <c r="AN26" s="244">
        <f t="shared" si="0"/>
        <v>141.6</v>
      </c>
    </row>
    <row r="27" spans="1:40" s="8" customFormat="1" x14ac:dyDescent="0.25">
      <c r="A27" s="414">
        <v>44104</v>
      </c>
      <c r="B27" s="31">
        <v>15</v>
      </c>
      <c r="C27" s="32" t="s">
        <v>131</v>
      </c>
      <c r="D27" s="32" t="s">
        <v>23</v>
      </c>
      <c r="E27" s="33"/>
      <c r="F27" s="393">
        <v>101222</v>
      </c>
      <c r="G27" s="110" t="s">
        <v>90</v>
      </c>
      <c r="H27" s="32">
        <f>J27</f>
        <v>349.44</v>
      </c>
      <c r="I27" s="228">
        <v>0</v>
      </c>
      <c r="J27" s="32">
        <v>349.44</v>
      </c>
      <c r="K27" s="32"/>
      <c r="L27" s="125"/>
      <c r="M27" s="125"/>
      <c r="N27" s="32">
        <f>J27</f>
        <v>349.44</v>
      </c>
      <c r="O27" s="32"/>
      <c r="P27" s="32"/>
      <c r="Q27" s="32"/>
      <c r="R27" s="32"/>
      <c r="S27" s="32"/>
      <c r="T27" s="32"/>
      <c r="U27" s="232"/>
      <c r="V27" s="32"/>
      <c r="W27" s="32"/>
      <c r="X27" s="32"/>
      <c r="Y27" s="32"/>
      <c r="Z27" s="32"/>
      <c r="AA27" s="32"/>
      <c r="AB27" s="218"/>
      <c r="AC27" s="32"/>
      <c r="AD27" s="13"/>
      <c r="AE27" s="13"/>
      <c r="AF27" s="210"/>
      <c r="AG27" s="7"/>
      <c r="AH27" s="7"/>
      <c r="AI27" s="7"/>
      <c r="AJ27" s="7"/>
      <c r="AK27" s="7"/>
      <c r="AL27" s="7"/>
      <c r="AM27" s="17"/>
      <c r="AN27" s="244">
        <f t="shared" si="0"/>
        <v>349.44</v>
      </c>
    </row>
    <row r="28" spans="1:40" s="8" customFormat="1" x14ac:dyDescent="0.25">
      <c r="A28" s="414" t="s">
        <v>186</v>
      </c>
      <c r="B28" s="31" t="s">
        <v>186</v>
      </c>
      <c r="C28" s="32" t="s">
        <v>133</v>
      </c>
      <c r="D28" s="32" t="s">
        <v>134</v>
      </c>
      <c r="E28" s="33"/>
      <c r="F28" s="393">
        <v>101221</v>
      </c>
      <c r="G28" s="175" t="s">
        <v>154</v>
      </c>
      <c r="H28" s="32">
        <v>12.9</v>
      </c>
      <c r="I28" s="228">
        <v>2.56</v>
      </c>
      <c r="J28" s="32">
        <v>15.46</v>
      </c>
      <c r="K28" s="32"/>
      <c r="L28" s="125"/>
      <c r="M28" s="125"/>
      <c r="N28" s="32"/>
      <c r="O28" s="32"/>
      <c r="P28" s="32"/>
      <c r="Q28" s="32"/>
      <c r="R28" s="32"/>
      <c r="S28" s="32"/>
      <c r="T28" s="32"/>
      <c r="U28" s="232"/>
      <c r="V28" s="32"/>
      <c r="W28" s="32"/>
      <c r="X28" s="32"/>
      <c r="Y28" s="32"/>
      <c r="Z28" s="32"/>
      <c r="AA28" s="32"/>
      <c r="AB28" s="218">
        <f>J28</f>
        <v>15.46</v>
      </c>
      <c r="AC28" s="32"/>
      <c r="AD28" s="13"/>
      <c r="AE28" s="13"/>
      <c r="AF28" s="210"/>
      <c r="AG28" s="7"/>
      <c r="AH28" s="7"/>
      <c r="AI28" s="7"/>
      <c r="AJ28" s="7"/>
      <c r="AK28" s="7"/>
      <c r="AL28" s="7"/>
      <c r="AM28" s="17"/>
      <c r="AN28" s="244">
        <f t="shared" si="0"/>
        <v>15.46</v>
      </c>
    </row>
    <row r="29" spans="1:40" s="8" customFormat="1" x14ac:dyDescent="0.25">
      <c r="A29" s="414">
        <v>44075</v>
      </c>
      <c r="B29" s="31" t="s">
        <v>188</v>
      </c>
      <c r="C29" s="32" t="s">
        <v>144</v>
      </c>
      <c r="D29" s="32" t="s">
        <v>145</v>
      </c>
      <c r="E29" s="33"/>
      <c r="F29" s="393">
        <v>101224</v>
      </c>
      <c r="G29" s="110" t="s">
        <v>90</v>
      </c>
      <c r="H29" s="117">
        <f>J29</f>
        <v>110</v>
      </c>
      <c r="I29" s="391">
        <f>J29-H29</f>
        <v>0</v>
      </c>
      <c r="J29" s="32">
        <v>110</v>
      </c>
      <c r="K29" s="32"/>
      <c r="L29" s="125"/>
      <c r="M29" s="125"/>
      <c r="N29" s="32"/>
      <c r="O29" s="32"/>
      <c r="P29" s="32"/>
      <c r="R29" s="32">
        <f>J29</f>
        <v>110</v>
      </c>
      <c r="S29" s="32"/>
      <c r="T29" s="32"/>
      <c r="U29" s="232"/>
      <c r="V29" s="32"/>
      <c r="W29" s="32"/>
      <c r="X29" s="32"/>
      <c r="Y29" s="32"/>
      <c r="Z29" s="32"/>
      <c r="AA29" s="32"/>
      <c r="AB29" s="218"/>
      <c r="AC29" s="32"/>
      <c r="AD29" s="13"/>
      <c r="AE29" s="13"/>
      <c r="AF29" s="210"/>
      <c r="AG29" s="7"/>
      <c r="AH29" s="7"/>
      <c r="AI29" s="7"/>
      <c r="AJ29" s="7"/>
      <c r="AK29" s="7"/>
      <c r="AL29" s="7"/>
      <c r="AM29" s="17"/>
      <c r="AN29" s="244">
        <f t="shared" si="0"/>
        <v>110</v>
      </c>
    </row>
    <row r="30" spans="1:40" s="8" customFormat="1" x14ac:dyDescent="0.25">
      <c r="A30" s="414">
        <v>44098</v>
      </c>
      <c r="B30" s="31">
        <v>1518</v>
      </c>
      <c r="C30" s="32" t="s">
        <v>13</v>
      </c>
      <c r="D30" s="32" t="s">
        <v>99</v>
      </c>
      <c r="E30" s="33"/>
      <c r="F30" s="393" t="s">
        <v>223</v>
      </c>
      <c r="G30" s="110" t="s">
        <v>90</v>
      </c>
      <c r="H30" s="32">
        <v>746.71</v>
      </c>
      <c r="I30" s="228">
        <v>149.34</v>
      </c>
      <c r="J30" s="32">
        <v>896.05</v>
      </c>
      <c r="K30" s="32"/>
      <c r="L30" s="125">
        <f>J30</f>
        <v>896.05</v>
      </c>
      <c r="M30" s="125"/>
      <c r="N30" s="32"/>
      <c r="O30" s="32"/>
      <c r="P30" s="32"/>
      <c r="Q30" s="32"/>
      <c r="R30" s="32"/>
      <c r="S30" s="32"/>
      <c r="T30" s="32"/>
      <c r="U30" s="232"/>
      <c r="V30" s="32"/>
      <c r="W30" s="32"/>
      <c r="X30" s="32"/>
      <c r="Y30" s="32"/>
      <c r="Z30" s="32"/>
      <c r="AA30" s="32"/>
      <c r="AB30" s="218"/>
      <c r="AC30" s="32"/>
      <c r="AD30" s="13"/>
      <c r="AE30" s="13"/>
      <c r="AF30" s="210"/>
      <c r="AG30" s="7"/>
      <c r="AH30" s="7"/>
      <c r="AI30" s="7"/>
      <c r="AJ30" s="7"/>
      <c r="AK30" s="7"/>
      <c r="AL30" s="7"/>
      <c r="AM30" s="17"/>
      <c r="AN30" s="244">
        <f t="shared" si="0"/>
        <v>896.05</v>
      </c>
    </row>
    <row r="31" spans="1:40" s="8" customFormat="1" x14ac:dyDescent="0.25">
      <c r="A31" s="414">
        <v>44105</v>
      </c>
      <c r="B31" s="31">
        <v>1454</v>
      </c>
      <c r="C31" s="32" t="s">
        <v>84</v>
      </c>
      <c r="D31" s="32" t="s">
        <v>146</v>
      </c>
      <c r="E31" s="33"/>
      <c r="F31" s="393">
        <v>101225</v>
      </c>
      <c r="G31" s="175" t="s">
        <v>154</v>
      </c>
      <c r="H31" s="32">
        <v>146.34</v>
      </c>
      <c r="I31" s="228">
        <v>29.27</v>
      </c>
      <c r="J31" s="32">
        <v>175.61</v>
      </c>
      <c r="K31" s="32"/>
      <c r="L31" s="125"/>
      <c r="M31" s="125"/>
      <c r="N31" s="32"/>
      <c r="O31" s="32"/>
      <c r="P31" s="32"/>
      <c r="Q31" s="32"/>
      <c r="R31" s="32"/>
      <c r="S31" s="32"/>
      <c r="T31" s="32"/>
      <c r="U31" s="232"/>
      <c r="V31" s="32"/>
      <c r="W31" s="32"/>
      <c r="X31" s="32"/>
      <c r="Y31" s="32"/>
      <c r="Z31" s="32"/>
      <c r="AA31" s="32"/>
      <c r="AB31" s="218">
        <f>J31</f>
        <v>175.61</v>
      </c>
      <c r="AC31" s="32"/>
      <c r="AD31" s="13"/>
      <c r="AE31" s="13"/>
      <c r="AF31" s="210"/>
      <c r="AG31" s="7"/>
      <c r="AH31" s="7"/>
      <c r="AI31" s="7"/>
      <c r="AJ31" s="7"/>
      <c r="AK31" s="7"/>
      <c r="AL31" s="7"/>
      <c r="AM31" s="17"/>
      <c r="AN31" s="244">
        <f t="shared" si="0"/>
        <v>175.61</v>
      </c>
    </row>
    <row r="32" spans="1:40" s="8" customFormat="1" x14ac:dyDescent="0.25">
      <c r="A32" s="414">
        <v>44090</v>
      </c>
      <c r="B32" s="31">
        <v>8957915</v>
      </c>
      <c r="C32" s="32" t="s">
        <v>147</v>
      </c>
      <c r="D32" s="32" t="s">
        <v>148</v>
      </c>
      <c r="E32" s="33"/>
      <c r="F32" s="393">
        <v>101223</v>
      </c>
      <c r="G32" s="110" t="s">
        <v>90</v>
      </c>
      <c r="H32" s="32">
        <v>46.85</v>
      </c>
      <c r="I32" s="228">
        <v>9.4</v>
      </c>
      <c r="J32" s="32">
        <v>56.25</v>
      </c>
      <c r="K32" s="32"/>
      <c r="L32" s="125"/>
      <c r="M32" s="125"/>
      <c r="N32" s="32"/>
      <c r="O32" s="32"/>
      <c r="P32" s="32"/>
      <c r="Q32" s="32"/>
      <c r="R32" s="32"/>
      <c r="S32" s="32"/>
      <c r="T32" s="32"/>
      <c r="U32" s="232"/>
      <c r="V32" s="32"/>
      <c r="W32" s="32"/>
      <c r="X32" s="32"/>
      <c r="Y32" s="32"/>
      <c r="Z32" s="32"/>
      <c r="AA32" s="32"/>
      <c r="AB32" s="218">
        <f>J32</f>
        <v>56.25</v>
      </c>
      <c r="AC32" s="32"/>
      <c r="AD32" s="13"/>
      <c r="AE32" s="13"/>
      <c r="AF32" s="210"/>
      <c r="AG32" s="7"/>
      <c r="AH32" s="7"/>
      <c r="AI32" s="7"/>
      <c r="AJ32" s="7"/>
      <c r="AK32" s="7"/>
      <c r="AL32" s="7"/>
      <c r="AM32" s="17"/>
      <c r="AN32" s="244">
        <f t="shared" si="0"/>
        <v>56.25</v>
      </c>
    </row>
    <row r="33" spans="1:40" s="8" customFormat="1" x14ac:dyDescent="0.25">
      <c r="A33" s="414">
        <v>44102</v>
      </c>
      <c r="B33" s="31">
        <v>31596</v>
      </c>
      <c r="C33" s="32" t="s">
        <v>139</v>
      </c>
      <c r="D33" s="32" t="s">
        <v>140</v>
      </c>
      <c r="E33" s="33"/>
      <c r="F33" s="393">
        <v>101227</v>
      </c>
      <c r="G33" s="175" t="s">
        <v>154</v>
      </c>
      <c r="H33" s="32">
        <v>68</v>
      </c>
      <c r="I33" s="228">
        <v>13.6</v>
      </c>
      <c r="J33" s="32">
        <v>81.599999999999994</v>
      </c>
      <c r="K33" s="32"/>
      <c r="L33" s="125"/>
      <c r="M33" s="125"/>
      <c r="N33" s="32"/>
      <c r="O33" s="32"/>
      <c r="P33" s="32"/>
      <c r="Q33" s="32"/>
      <c r="R33" s="32"/>
      <c r="S33" s="32"/>
      <c r="T33" s="32"/>
      <c r="U33" s="232"/>
      <c r="V33" s="32"/>
      <c r="W33" s="32"/>
      <c r="X33" s="32"/>
      <c r="Y33" s="32"/>
      <c r="Z33" s="32"/>
      <c r="AA33" s="32"/>
      <c r="AB33" s="218">
        <f>J33</f>
        <v>81.599999999999994</v>
      </c>
      <c r="AC33" s="32"/>
      <c r="AD33" s="13"/>
      <c r="AE33" s="13"/>
      <c r="AF33" s="210"/>
      <c r="AG33" s="7"/>
      <c r="AH33" s="7"/>
      <c r="AI33" s="7"/>
      <c r="AJ33" s="7"/>
      <c r="AK33" s="7"/>
      <c r="AL33" s="7"/>
      <c r="AM33" s="17"/>
      <c r="AN33" s="244">
        <f t="shared" si="0"/>
        <v>81.599999999999994</v>
      </c>
    </row>
    <row r="34" spans="1:40" s="8" customFormat="1" x14ac:dyDescent="0.25">
      <c r="A34" s="414">
        <v>44105</v>
      </c>
      <c r="B34" s="31">
        <v>3177</v>
      </c>
      <c r="C34" s="32" t="s">
        <v>141</v>
      </c>
      <c r="D34" s="32" t="s">
        <v>98</v>
      </c>
      <c r="E34" s="33"/>
      <c r="F34" s="393">
        <v>101228</v>
      </c>
      <c r="G34" s="110" t="s">
        <v>90</v>
      </c>
      <c r="H34" s="32">
        <v>593</v>
      </c>
      <c r="I34" s="228">
        <v>118.6</v>
      </c>
      <c r="J34" s="32">
        <v>711.6</v>
      </c>
      <c r="K34" s="32"/>
      <c r="L34" s="125"/>
      <c r="M34" s="125"/>
      <c r="N34" s="32"/>
      <c r="O34" s="32"/>
      <c r="P34" s="32"/>
      <c r="Q34" s="32"/>
      <c r="R34" s="32"/>
      <c r="S34" s="32"/>
      <c r="T34" s="32"/>
      <c r="U34" s="232"/>
      <c r="V34" s="107">
        <f>37*1.2*2</f>
        <v>88.8</v>
      </c>
      <c r="W34" s="107">
        <f>32*2*1.2</f>
        <v>76.8</v>
      </c>
      <c r="X34" s="107">
        <f>37*2*1.2</f>
        <v>88.8</v>
      </c>
      <c r="Y34" s="32"/>
      <c r="Z34" s="107">
        <f>12*1.2*2</f>
        <v>28.799999999999997</v>
      </c>
      <c r="AA34" s="32"/>
      <c r="AB34" s="218"/>
      <c r="AC34" s="32"/>
      <c r="AD34" s="13">
        <f>(72*1.2)</f>
        <v>86.399999999999991</v>
      </c>
      <c r="AE34" s="13">
        <f>285*1.2</f>
        <v>342</v>
      </c>
      <c r="AF34" s="210">
        <f>SUM(V34:Z34)+AD34+AE34</f>
        <v>711.59999999999991</v>
      </c>
      <c r="AG34" s="7"/>
      <c r="AH34" s="7"/>
      <c r="AI34" s="7"/>
      <c r="AJ34" s="7"/>
      <c r="AK34" s="7"/>
      <c r="AL34" s="7"/>
      <c r="AM34" s="17"/>
      <c r="AN34" s="244">
        <f t="shared" si="0"/>
        <v>711.59999999999991</v>
      </c>
    </row>
    <row r="35" spans="1:40" s="8" customFormat="1" x14ac:dyDescent="0.25">
      <c r="A35" s="414">
        <v>44095</v>
      </c>
      <c r="B35" s="31">
        <v>551715</v>
      </c>
      <c r="C35" s="32" t="s">
        <v>143</v>
      </c>
      <c r="D35" s="32" t="s">
        <v>142</v>
      </c>
      <c r="E35" s="172"/>
      <c r="F35" s="393">
        <v>101229</v>
      </c>
      <c r="G35" s="110" t="s">
        <v>90</v>
      </c>
      <c r="H35" s="32">
        <v>50</v>
      </c>
      <c r="I35" s="228">
        <v>10</v>
      </c>
      <c r="J35" s="32">
        <v>60</v>
      </c>
      <c r="K35" s="32"/>
      <c r="L35" s="125"/>
      <c r="M35" s="125"/>
      <c r="N35" s="32"/>
      <c r="O35" s="32"/>
      <c r="P35" s="32"/>
      <c r="Q35" s="32">
        <f>J35</f>
        <v>60</v>
      </c>
      <c r="S35" s="32"/>
      <c r="T35" s="32"/>
      <c r="U35" s="232"/>
      <c r="V35" s="32"/>
      <c r="W35" s="32"/>
      <c r="X35" s="32"/>
      <c r="Y35" s="32"/>
      <c r="Z35" s="32"/>
      <c r="AA35" s="32"/>
      <c r="AB35" s="218"/>
      <c r="AC35" s="32"/>
      <c r="AD35" s="13"/>
      <c r="AE35" s="13"/>
      <c r="AF35" s="210"/>
      <c r="AG35" s="7"/>
      <c r="AH35" s="7"/>
      <c r="AI35" s="7"/>
      <c r="AJ35" s="7"/>
      <c r="AK35" s="7"/>
      <c r="AL35" s="7"/>
      <c r="AM35" s="17"/>
      <c r="AN35" s="244">
        <f t="shared" si="0"/>
        <v>60</v>
      </c>
    </row>
    <row r="36" spans="1:40" s="8" customFormat="1" x14ac:dyDescent="0.25">
      <c r="A36" s="414">
        <v>44131</v>
      </c>
      <c r="B36" s="31">
        <v>52488</v>
      </c>
      <c r="C36" s="4" t="s">
        <v>151</v>
      </c>
      <c r="D36" s="4" t="s">
        <v>152</v>
      </c>
      <c r="E36"/>
      <c r="F36" s="394">
        <v>101230</v>
      </c>
      <c r="G36" s="186" t="s">
        <v>90</v>
      </c>
      <c r="H36" s="32">
        <v>68.5</v>
      </c>
      <c r="I36" s="228">
        <v>13.7</v>
      </c>
      <c r="J36" s="19">
        <v>82.2</v>
      </c>
      <c r="K36" s="32"/>
      <c r="L36" s="125"/>
      <c r="M36" s="125"/>
      <c r="N36" s="32"/>
      <c r="O36" s="32"/>
      <c r="P36" s="32"/>
      <c r="Q36" s="32"/>
      <c r="R36" s="32"/>
      <c r="S36" s="32"/>
      <c r="T36" s="32"/>
      <c r="U36" s="232"/>
      <c r="V36" s="32"/>
      <c r="W36" s="32"/>
      <c r="Y36" s="187">
        <f>J36</f>
        <v>82.2</v>
      </c>
      <c r="Z36" s="32"/>
      <c r="AA36" s="32"/>
      <c r="AB36" s="218"/>
      <c r="AC36" s="32"/>
      <c r="AD36" s="13"/>
      <c r="AE36" s="13"/>
      <c r="AF36" s="210"/>
      <c r="AG36" s="197"/>
      <c r="AH36" s="7"/>
      <c r="AI36" s="7"/>
      <c r="AJ36" s="7"/>
      <c r="AK36" s="7"/>
      <c r="AL36" s="7"/>
      <c r="AM36" s="17"/>
      <c r="AN36" s="244">
        <f t="shared" si="0"/>
        <v>82.2</v>
      </c>
    </row>
    <row r="37" spans="1:40" s="8" customFormat="1" x14ac:dyDescent="0.25">
      <c r="A37" s="415">
        <v>44157</v>
      </c>
      <c r="B37" s="313" t="s">
        <v>170</v>
      </c>
      <c r="C37" s="32" t="s">
        <v>168</v>
      </c>
      <c r="D37" s="32" t="s">
        <v>169</v>
      </c>
      <c r="E37" s="172"/>
      <c r="F37" s="393" t="s">
        <v>223</v>
      </c>
      <c r="G37" s="110" t="s">
        <v>90</v>
      </c>
      <c r="H37" s="32">
        <v>200</v>
      </c>
      <c r="I37" s="228">
        <v>40</v>
      </c>
      <c r="J37" s="117">
        <v>240</v>
      </c>
      <c r="K37" s="32"/>
      <c r="L37" s="125"/>
      <c r="M37" s="125"/>
      <c r="N37" s="32"/>
      <c r="O37" s="32">
        <f>J37</f>
        <v>240</v>
      </c>
      <c r="P37" s="32"/>
      <c r="Q37" s="32"/>
      <c r="R37" s="32"/>
      <c r="S37" s="32"/>
      <c r="T37" s="32"/>
      <c r="U37" s="232"/>
      <c r="V37" s="32"/>
      <c r="W37" s="32"/>
      <c r="X37" s="32"/>
      <c r="Y37" s="32"/>
      <c r="Z37" s="32"/>
      <c r="AA37" s="32"/>
      <c r="AB37" s="218"/>
      <c r="AC37" s="32"/>
      <c r="AD37" s="13"/>
      <c r="AE37" s="13"/>
      <c r="AF37" s="210"/>
      <c r="AG37" s="7"/>
      <c r="AH37" s="7"/>
      <c r="AI37" s="7"/>
      <c r="AJ37" s="7"/>
      <c r="AK37" s="7"/>
      <c r="AL37" s="7"/>
      <c r="AM37" s="17"/>
      <c r="AN37" s="244">
        <f t="shared" si="0"/>
        <v>240</v>
      </c>
    </row>
    <row r="38" spans="1:40" s="8" customFormat="1" x14ac:dyDescent="0.25">
      <c r="A38" s="414">
        <v>44154</v>
      </c>
      <c r="B38" s="31">
        <v>1639</v>
      </c>
      <c r="C38" s="32" t="s">
        <v>171</v>
      </c>
      <c r="D38" s="32" t="s">
        <v>99</v>
      </c>
      <c r="E38" s="172"/>
      <c r="F38" s="393" t="s">
        <v>223</v>
      </c>
      <c r="G38" s="110" t="s">
        <v>90</v>
      </c>
      <c r="H38" s="32">
        <v>1219.6199999999999</v>
      </c>
      <c r="I38" s="228">
        <v>243.92</v>
      </c>
      <c r="J38" s="117">
        <v>1463.54</v>
      </c>
      <c r="K38" s="32"/>
      <c r="L38" s="125">
        <f>J38</f>
        <v>1463.54</v>
      </c>
      <c r="M38" s="125"/>
      <c r="N38" s="32"/>
      <c r="O38" s="32"/>
      <c r="P38" s="32"/>
      <c r="Q38" s="32"/>
      <c r="R38" s="32"/>
      <c r="S38" s="32"/>
      <c r="T38" s="32"/>
      <c r="U38" s="232"/>
      <c r="V38" s="32"/>
      <c r="W38" s="32"/>
      <c r="X38" s="32"/>
      <c r="Y38" s="32"/>
      <c r="Z38" s="32"/>
      <c r="AA38" s="32"/>
      <c r="AB38" s="218"/>
      <c r="AC38" s="32"/>
      <c r="AD38" s="13"/>
      <c r="AE38" s="13"/>
      <c r="AF38" s="210"/>
      <c r="AG38" s="7"/>
      <c r="AH38" s="7"/>
      <c r="AI38" s="7"/>
      <c r="AJ38" s="7"/>
      <c r="AK38" s="7"/>
      <c r="AL38" s="7"/>
      <c r="AM38" s="17"/>
      <c r="AN38" s="244">
        <f t="shared" si="0"/>
        <v>1463.54</v>
      </c>
    </row>
    <row r="39" spans="1:40" s="8" customFormat="1" x14ac:dyDescent="0.25">
      <c r="A39" s="414">
        <v>44182</v>
      </c>
      <c r="B39" s="31">
        <v>1728</v>
      </c>
      <c r="C39" s="32" t="s">
        <v>13</v>
      </c>
      <c r="D39" s="32" t="s">
        <v>99</v>
      </c>
      <c r="E39" s="172"/>
      <c r="F39" s="393" t="s">
        <v>223</v>
      </c>
      <c r="G39" s="110" t="s">
        <v>90</v>
      </c>
      <c r="H39" s="32">
        <v>265.49</v>
      </c>
      <c r="I39" s="228">
        <v>53.1</v>
      </c>
      <c r="J39" s="117">
        <v>318.58999999999997</v>
      </c>
      <c r="K39" s="32"/>
      <c r="L39" s="125">
        <f>J39</f>
        <v>318.58999999999997</v>
      </c>
      <c r="M39" s="125"/>
      <c r="N39" s="32"/>
      <c r="O39" s="32"/>
      <c r="P39" s="32"/>
      <c r="Q39" s="32"/>
      <c r="R39" s="32"/>
      <c r="S39" s="32"/>
      <c r="T39" s="32"/>
      <c r="U39" s="232"/>
      <c r="V39" s="32"/>
      <c r="W39" s="32"/>
      <c r="X39" s="32"/>
      <c r="Y39" s="32"/>
      <c r="Z39" s="32"/>
      <c r="AA39" s="32"/>
      <c r="AB39" s="218"/>
      <c r="AC39" s="32"/>
      <c r="AD39" s="13"/>
      <c r="AE39" s="13"/>
      <c r="AF39" s="210"/>
      <c r="AG39" s="7"/>
      <c r="AH39" s="7"/>
      <c r="AI39" s="7"/>
      <c r="AJ39" s="7"/>
      <c r="AK39" s="7"/>
      <c r="AL39" s="7"/>
      <c r="AM39" s="17"/>
      <c r="AN39" s="244">
        <f t="shared" si="0"/>
        <v>318.58999999999997</v>
      </c>
    </row>
    <row r="40" spans="1:40" s="8" customFormat="1" x14ac:dyDescent="0.25">
      <c r="A40" s="414">
        <v>44196</v>
      </c>
      <c r="B40" s="31">
        <v>44166</v>
      </c>
      <c r="C40" s="32" t="s">
        <v>172</v>
      </c>
      <c r="D40" s="32" t="s">
        <v>173</v>
      </c>
      <c r="E40" s="172"/>
      <c r="F40" s="393">
        <v>101239</v>
      </c>
      <c r="G40" s="110" t="s">
        <v>90</v>
      </c>
      <c r="H40" s="32">
        <v>650</v>
      </c>
      <c r="I40" s="228">
        <v>0</v>
      </c>
      <c r="J40" s="117">
        <v>650</v>
      </c>
      <c r="K40" s="32"/>
      <c r="L40" s="125">
        <f>J40</f>
        <v>650</v>
      </c>
      <c r="M40" s="125"/>
      <c r="N40" s="32"/>
      <c r="O40" s="32"/>
      <c r="P40" s="32"/>
      <c r="Q40" s="32"/>
      <c r="R40" s="32"/>
      <c r="S40" s="32"/>
      <c r="T40" s="32"/>
      <c r="U40" s="232"/>
      <c r="V40" s="32"/>
      <c r="W40" s="32"/>
      <c r="X40" s="32"/>
      <c r="Y40" s="32"/>
      <c r="Z40" s="32"/>
      <c r="AA40" s="32"/>
      <c r="AB40" s="218"/>
      <c r="AC40" s="32"/>
      <c r="AD40" s="13"/>
      <c r="AE40" s="13"/>
      <c r="AF40" s="210"/>
      <c r="AG40" s="7"/>
      <c r="AH40" s="7"/>
      <c r="AI40" s="7"/>
      <c r="AJ40" s="7"/>
      <c r="AK40" s="7"/>
      <c r="AL40" s="7"/>
      <c r="AM40" s="17"/>
      <c r="AN40" s="244">
        <f t="shared" si="0"/>
        <v>650</v>
      </c>
    </row>
    <row r="41" spans="1:40" s="8" customFormat="1" x14ac:dyDescent="0.25">
      <c r="A41" s="414">
        <v>44196</v>
      </c>
      <c r="B41" s="31"/>
      <c r="C41" s="32" t="s">
        <v>172</v>
      </c>
      <c r="D41" s="32" t="s">
        <v>187</v>
      </c>
      <c r="E41" s="172"/>
      <c r="F41" s="393">
        <v>101238</v>
      </c>
      <c r="G41" s="110" t="s">
        <v>90</v>
      </c>
      <c r="H41" s="32">
        <v>65</v>
      </c>
      <c r="I41" s="228">
        <v>0</v>
      </c>
      <c r="J41" s="117">
        <v>65</v>
      </c>
      <c r="K41" s="32"/>
      <c r="L41" s="125">
        <f>J41</f>
        <v>65</v>
      </c>
      <c r="M41" s="125"/>
      <c r="N41" s="32"/>
      <c r="O41" s="32"/>
      <c r="P41" s="32"/>
      <c r="Q41" s="32"/>
      <c r="R41" s="32"/>
      <c r="S41" s="32"/>
      <c r="T41" s="32"/>
      <c r="U41" s="232"/>
      <c r="V41" s="32"/>
      <c r="W41" s="32"/>
      <c r="X41" s="32"/>
      <c r="Y41" s="32"/>
      <c r="Z41" s="32"/>
      <c r="AA41" s="32"/>
      <c r="AB41" s="218"/>
      <c r="AC41" s="32"/>
      <c r="AD41" s="13"/>
      <c r="AE41" s="13"/>
      <c r="AF41" s="210"/>
      <c r="AG41" s="7"/>
      <c r="AH41" s="7"/>
      <c r="AI41" s="7"/>
      <c r="AJ41" s="7"/>
      <c r="AK41" s="7"/>
      <c r="AL41" s="7"/>
      <c r="AM41" s="17"/>
      <c r="AN41" s="244">
        <f t="shared" si="0"/>
        <v>65</v>
      </c>
    </row>
    <row r="42" spans="1:40" s="8" customFormat="1" x14ac:dyDescent="0.25">
      <c r="A42" s="414">
        <v>44167</v>
      </c>
      <c r="B42" s="31">
        <v>85</v>
      </c>
      <c r="C42" s="32" t="s">
        <v>185</v>
      </c>
      <c r="D42" s="32" t="s">
        <v>167</v>
      </c>
      <c r="E42" s="172"/>
      <c r="F42" s="393">
        <v>101235</v>
      </c>
      <c r="G42" s="110" t="s">
        <v>90</v>
      </c>
      <c r="H42" s="32">
        <v>150</v>
      </c>
      <c r="I42" s="228">
        <v>0</v>
      </c>
      <c r="J42" s="117">
        <v>150</v>
      </c>
      <c r="K42" s="32"/>
      <c r="L42" s="125"/>
      <c r="M42" s="125"/>
      <c r="N42" s="32"/>
      <c r="O42" s="32"/>
      <c r="P42" s="32"/>
      <c r="Q42" s="32"/>
      <c r="R42" s="32"/>
      <c r="S42" s="32"/>
      <c r="T42" s="32"/>
      <c r="U42" s="232">
        <f>J42</f>
        <v>150</v>
      </c>
      <c r="V42" s="32"/>
      <c r="W42" s="32"/>
      <c r="X42" s="32"/>
      <c r="Y42" s="32"/>
      <c r="Z42" s="32"/>
      <c r="AA42" s="32"/>
      <c r="AB42" s="218"/>
      <c r="AC42" s="32"/>
      <c r="AD42" s="13"/>
      <c r="AE42" s="13"/>
      <c r="AF42" s="210"/>
      <c r="AG42" s="7"/>
      <c r="AH42" s="7"/>
      <c r="AI42" s="7"/>
      <c r="AJ42" s="7"/>
      <c r="AK42" s="7"/>
      <c r="AL42" s="7"/>
      <c r="AM42" s="17"/>
      <c r="AN42" s="244">
        <f t="shared" si="0"/>
        <v>150</v>
      </c>
    </row>
    <row r="43" spans="1:40" s="8" customFormat="1" x14ac:dyDescent="0.25">
      <c r="A43" s="414">
        <v>44165</v>
      </c>
      <c r="B43" s="31">
        <v>23999</v>
      </c>
      <c r="C43" s="32" t="s">
        <v>87</v>
      </c>
      <c r="D43" s="32" t="s">
        <v>174</v>
      </c>
      <c r="E43" s="172"/>
      <c r="F43" s="393">
        <v>101240</v>
      </c>
      <c r="G43" s="110" t="s">
        <v>210</v>
      </c>
      <c r="H43" s="32">
        <v>40</v>
      </c>
      <c r="I43" s="228">
        <v>8</v>
      </c>
      <c r="J43" s="117">
        <v>48</v>
      </c>
      <c r="K43" s="32"/>
      <c r="L43" s="125"/>
      <c r="M43" s="125"/>
      <c r="N43" s="32"/>
      <c r="O43" s="32"/>
      <c r="P43" s="32"/>
      <c r="Q43" s="32"/>
      <c r="R43" s="32"/>
      <c r="S43" s="32"/>
      <c r="T43" s="32"/>
      <c r="U43" s="232"/>
      <c r="V43" s="32"/>
      <c r="W43" s="32"/>
      <c r="X43" s="32"/>
      <c r="Y43" s="32"/>
      <c r="Z43" s="32"/>
      <c r="AA43" s="32"/>
      <c r="AB43" s="218"/>
      <c r="AC43" s="117">
        <f>J43</f>
        <v>48</v>
      </c>
      <c r="AD43" s="13"/>
      <c r="AE43" s="13"/>
      <c r="AF43" s="210"/>
      <c r="AG43" s="7"/>
      <c r="AH43" s="7"/>
      <c r="AI43" s="7"/>
      <c r="AJ43" s="7"/>
      <c r="AK43" s="7"/>
      <c r="AL43" s="7"/>
      <c r="AM43" s="17"/>
      <c r="AN43" s="244">
        <f t="shared" si="0"/>
        <v>48</v>
      </c>
    </row>
    <row r="44" spans="1:40" s="8" customFormat="1" x14ac:dyDescent="0.25">
      <c r="A44" s="414">
        <v>44189</v>
      </c>
      <c r="B44" s="31">
        <v>3028</v>
      </c>
      <c r="C44" s="32" t="s">
        <v>87</v>
      </c>
      <c r="D44" s="32" t="s">
        <v>174</v>
      </c>
      <c r="E44" s="172"/>
      <c r="F44" s="393">
        <v>101240</v>
      </c>
      <c r="G44" s="110" t="s">
        <v>210</v>
      </c>
      <c r="H44" s="32">
        <v>25</v>
      </c>
      <c r="I44" s="228">
        <v>5</v>
      </c>
      <c r="J44" s="117">
        <v>30</v>
      </c>
      <c r="K44" s="32"/>
      <c r="L44" s="125"/>
      <c r="M44" s="125"/>
      <c r="N44" s="32"/>
      <c r="O44" s="32"/>
      <c r="P44" s="32"/>
      <c r="Q44" s="32"/>
      <c r="R44" s="32"/>
      <c r="S44" s="32"/>
      <c r="T44" s="32"/>
      <c r="U44" s="232"/>
      <c r="V44" s="32"/>
      <c r="W44" s="32"/>
      <c r="X44" s="32"/>
      <c r="Y44" s="32"/>
      <c r="Z44" s="32"/>
      <c r="AA44" s="32"/>
      <c r="AB44" s="218"/>
      <c r="AC44" s="117">
        <f>J44</f>
        <v>30</v>
      </c>
      <c r="AD44" s="13"/>
      <c r="AE44" s="13"/>
      <c r="AF44" s="210"/>
      <c r="AG44" s="7"/>
      <c r="AH44" s="7"/>
      <c r="AI44" s="7"/>
      <c r="AJ44" s="7"/>
      <c r="AK44" s="7"/>
      <c r="AL44" s="7"/>
      <c r="AM44" s="17"/>
      <c r="AN44" s="244">
        <f t="shared" si="0"/>
        <v>30</v>
      </c>
    </row>
    <row r="45" spans="1:40" s="8" customFormat="1" x14ac:dyDescent="0.25">
      <c r="A45" s="414">
        <v>44214</v>
      </c>
      <c r="B45" s="31">
        <v>3425</v>
      </c>
      <c r="C45" s="32" t="s">
        <v>192</v>
      </c>
      <c r="D45" s="32" t="s">
        <v>98</v>
      </c>
      <c r="E45" s="172"/>
      <c r="F45" s="393">
        <v>101237</v>
      </c>
      <c r="G45" s="110" t="s">
        <v>90</v>
      </c>
      <c r="H45" s="32">
        <v>145</v>
      </c>
      <c r="I45" s="228">
        <v>29</v>
      </c>
      <c r="J45" s="117">
        <v>174</v>
      </c>
      <c r="K45" s="32"/>
      <c r="L45" s="125"/>
      <c r="M45" s="125"/>
      <c r="N45" s="32"/>
      <c r="O45" s="32"/>
      <c r="P45" s="32"/>
      <c r="Q45" s="32"/>
      <c r="R45" s="32"/>
      <c r="S45" s="32"/>
      <c r="T45" s="32"/>
      <c r="U45" s="232"/>
      <c r="V45" s="32"/>
      <c r="W45" s="32"/>
      <c r="X45" s="32">
        <f>J45</f>
        <v>174</v>
      </c>
      <c r="Y45" s="32"/>
      <c r="Z45" s="32"/>
      <c r="AA45" s="32"/>
      <c r="AB45" s="218"/>
      <c r="AC45" s="32"/>
      <c r="AD45" s="13"/>
      <c r="AE45" s="13"/>
      <c r="AF45" s="210"/>
      <c r="AG45" s="7"/>
      <c r="AH45" s="7"/>
      <c r="AI45" s="7"/>
      <c r="AJ45" s="7"/>
      <c r="AK45" s="7"/>
      <c r="AL45" s="7"/>
      <c r="AM45" s="17"/>
      <c r="AN45" s="244">
        <f t="shared" si="0"/>
        <v>174</v>
      </c>
    </row>
    <row r="46" spans="1:40" s="8" customFormat="1" x14ac:dyDescent="0.25">
      <c r="A46" s="414">
        <v>44207</v>
      </c>
      <c r="B46" s="31" t="s">
        <v>193</v>
      </c>
      <c r="C46" s="32" t="s">
        <v>194</v>
      </c>
      <c r="D46" s="32" t="s">
        <v>195</v>
      </c>
      <c r="E46" s="172"/>
      <c r="F46" s="393">
        <v>101236</v>
      </c>
      <c r="G46" s="110" t="s">
        <v>196</v>
      </c>
      <c r="H46" s="32">
        <v>50</v>
      </c>
      <c r="I46" s="228">
        <v>10</v>
      </c>
      <c r="J46" s="117">
        <v>60</v>
      </c>
      <c r="K46" s="32"/>
      <c r="L46" s="125"/>
      <c r="M46" s="125"/>
      <c r="N46" s="32"/>
      <c r="O46" s="32"/>
      <c r="P46" s="32"/>
      <c r="Q46" s="32"/>
      <c r="R46" s="32"/>
      <c r="S46" s="32"/>
      <c r="T46" s="32"/>
      <c r="U46" s="232"/>
      <c r="V46" s="32"/>
      <c r="W46" s="32"/>
      <c r="X46" s="32"/>
      <c r="Y46" s="32"/>
      <c r="Z46" s="32"/>
      <c r="AA46" s="32"/>
      <c r="AB46" s="218"/>
      <c r="AC46" s="32"/>
      <c r="AD46" s="13"/>
      <c r="AE46" s="13"/>
      <c r="AF46" s="210"/>
      <c r="AG46" s="7"/>
      <c r="AH46" s="7"/>
      <c r="AI46" s="7"/>
      <c r="AJ46" s="7"/>
      <c r="AK46" s="7"/>
      <c r="AL46" s="272">
        <f>J46</f>
        <v>60</v>
      </c>
      <c r="AM46" s="17"/>
      <c r="AN46" s="244">
        <f t="shared" si="0"/>
        <v>60</v>
      </c>
    </row>
    <row r="47" spans="1:40" s="241" customFormat="1" x14ac:dyDescent="0.25">
      <c r="A47" s="416"/>
      <c r="B47" s="299"/>
      <c r="C47" s="300" t="s">
        <v>215</v>
      </c>
      <c r="D47" s="300"/>
      <c r="E47" s="301"/>
      <c r="F47" s="395">
        <v>101233</v>
      </c>
      <c r="G47" s="302"/>
      <c r="H47" s="300"/>
      <c r="I47" s="300"/>
      <c r="J47" s="300">
        <v>0</v>
      </c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3"/>
      <c r="AE47" s="303"/>
      <c r="AF47" s="303"/>
      <c r="AG47" s="304"/>
      <c r="AH47" s="304"/>
      <c r="AI47" s="304"/>
      <c r="AJ47" s="304"/>
      <c r="AK47" s="304"/>
      <c r="AL47" s="304"/>
      <c r="AM47" s="305"/>
      <c r="AN47" s="297">
        <f t="shared" si="0"/>
        <v>0</v>
      </c>
    </row>
    <row r="48" spans="1:40" s="352" customFormat="1" x14ac:dyDescent="0.25">
      <c r="A48" s="417">
        <v>44298</v>
      </c>
      <c r="B48" s="342" t="s">
        <v>186</v>
      </c>
      <c r="C48" s="343" t="s">
        <v>172</v>
      </c>
      <c r="D48" s="344" t="s">
        <v>228</v>
      </c>
      <c r="E48" s="345"/>
      <c r="F48" s="346" t="s">
        <v>223</v>
      </c>
      <c r="G48" s="347" t="s">
        <v>90</v>
      </c>
      <c r="H48" s="343">
        <v>325</v>
      </c>
      <c r="I48" s="436">
        <v>0</v>
      </c>
      <c r="J48" s="412">
        <v>325</v>
      </c>
      <c r="K48" s="343"/>
      <c r="L48" s="412">
        <f>J48</f>
        <v>325</v>
      </c>
      <c r="M48" s="343"/>
      <c r="N48" s="343"/>
      <c r="O48" s="343"/>
      <c r="P48" s="343"/>
      <c r="Q48" s="343"/>
      <c r="R48" s="343"/>
      <c r="S48" s="343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348"/>
      <c r="AE48" s="348"/>
      <c r="AF48" s="348"/>
      <c r="AG48" s="349"/>
      <c r="AH48" s="349"/>
      <c r="AI48" s="349"/>
      <c r="AJ48" s="349"/>
      <c r="AK48" s="349"/>
      <c r="AL48" s="349"/>
      <c r="AM48" s="350"/>
      <c r="AN48" s="351"/>
    </row>
    <row r="49" spans="1:40" s="7" customFormat="1" x14ac:dyDescent="0.25">
      <c r="A49" s="414">
        <v>44252</v>
      </c>
      <c r="B49" s="31" t="s">
        <v>186</v>
      </c>
      <c r="C49" s="311" t="s">
        <v>172</v>
      </c>
      <c r="D49" s="316" t="s">
        <v>229</v>
      </c>
      <c r="E49" s="33"/>
      <c r="F49" s="366" t="s">
        <v>223</v>
      </c>
      <c r="G49" s="110" t="s">
        <v>90</v>
      </c>
      <c r="H49" s="32">
        <v>325</v>
      </c>
      <c r="I49" s="228">
        <v>0</v>
      </c>
      <c r="J49" s="312">
        <v>325</v>
      </c>
      <c r="K49" s="32"/>
      <c r="L49" s="117">
        <f>J49</f>
        <v>325</v>
      </c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13"/>
      <c r="AE49" s="13"/>
      <c r="AF49" s="13"/>
      <c r="AM49" s="17"/>
      <c r="AN49" s="272"/>
    </row>
    <row r="50" spans="1:40" s="257" customFormat="1" x14ac:dyDescent="0.25">
      <c r="A50" s="418">
        <v>44298</v>
      </c>
      <c r="B50" s="353" t="s">
        <v>218</v>
      </c>
      <c r="C50" s="354" t="s">
        <v>221</v>
      </c>
      <c r="D50" s="355" t="s">
        <v>217</v>
      </c>
      <c r="E50" s="356"/>
      <c r="F50" s="357" t="s">
        <v>223</v>
      </c>
      <c r="G50" s="358" t="s">
        <v>90</v>
      </c>
      <c r="H50" s="255">
        <v>30</v>
      </c>
      <c r="I50" s="228">
        <v>6</v>
      </c>
      <c r="J50" s="359">
        <v>36</v>
      </c>
      <c r="K50" s="255"/>
      <c r="L50" s="360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360">
        <f>J50</f>
        <v>36</v>
      </c>
      <c r="AD50" s="361"/>
      <c r="AE50" s="361"/>
      <c r="AF50" s="361"/>
      <c r="AM50" s="362"/>
      <c r="AN50" s="363"/>
    </row>
    <row r="51" spans="1:40" s="257" customFormat="1" x14ac:dyDescent="0.25">
      <c r="A51" s="418">
        <v>44298</v>
      </c>
      <c r="B51" s="353" t="s">
        <v>219</v>
      </c>
      <c r="C51" s="354" t="s">
        <v>222</v>
      </c>
      <c r="D51" s="355" t="s">
        <v>226</v>
      </c>
      <c r="E51" s="356"/>
      <c r="F51" s="357" t="s">
        <v>223</v>
      </c>
      <c r="G51" s="358" t="s">
        <v>210</v>
      </c>
      <c r="H51" s="255">
        <v>50</v>
      </c>
      <c r="I51" s="228">
        <v>10</v>
      </c>
      <c r="J51" s="359">
        <v>60</v>
      </c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360">
        <f>J51</f>
        <v>60</v>
      </c>
      <c r="AD51" s="361"/>
      <c r="AE51" s="361"/>
      <c r="AF51" s="361"/>
      <c r="AM51" s="362"/>
      <c r="AN51" s="363"/>
    </row>
    <row r="52" spans="1:40" s="257" customFormat="1" x14ac:dyDescent="0.25">
      <c r="A52" s="418">
        <v>44298</v>
      </c>
      <c r="B52" s="369" t="s">
        <v>220</v>
      </c>
      <c r="C52" s="354" t="s">
        <v>87</v>
      </c>
      <c r="D52" s="355" t="s">
        <v>227</v>
      </c>
      <c r="E52" s="356"/>
      <c r="F52" s="357" t="s">
        <v>223</v>
      </c>
      <c r="G52" s="358" t="s">
        <v>210</v>
      </c>
      <c r="H52" s="255">
        <v>75</v>
      </c>
      <c r="I52" s="437">
        <v>15</v>
      </c>
      <c r="J52" s="359">
        <v>90</v>
      </c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360">
        <f>J52</f>
        <v>90</v>
      </c>
      <c r="AD52" s="361"/>
      <c r="AE52" s="361"/>
      <c r="AF52" s="361"/>
      <c r="AM52" s="362"/>
      <c r="AN52" s="363"/>
    </row>
    <row r="53" spans="1:40" s="389" customFormat="1" x14ac:dyDescent="0.25">
      <c r="A53" s="419">
        <v>44302</v>
      </c>
      <c r="B53" s="377" t="s">
        <v>186</v>
      </c>
      <c r="C53" s="378" t="s">
        <v>254</v>
      </c>
      <c r="D53" s="379" t="s">
        <v>253</v>
      </c>
      <c r="E53" s="380"/>
      <c r="F53" s="381" t="s">
        <v>223</v>
      </c>
      <c r="G53" s="382" t="s">
        <v>90</v>
      </c>
      <c r="H53" s="255">
        <v>62.5</v>
      </c>
      <c r="I53" s="437">
        <v>0</v>
      </c>
      <c r="J53" s="413">
        <f>12.5*5</f>
        <v>62.5</v>
      </c>
      <c r="K53" s="255"/>
      <c r="L53" s="383"/>
      <c r="M53" s="383">
        <f>J53</f>
        <v>62.5</v>
      </c>
      <c r="N53" s="383"/>
      <c r="O53" s="383"/>
      <c r="P53" s="383"/>
      <c r="Q53" s="383"/>
      <c r="R53" s="383"/>
      <c r="S53" s="383"/>
      <c r="T53" s="383"/>
      <c r="U53" s="383"/>
      <c r="V53" s="383"/>
      <c r="W53" s="383"/>
      <c r="X53" s="383"/>
      <c r="Y53" s="383"/>
      <c r="Z53" s="383"/>
      <c r="AA53" s="383"/>
      <c r="AB53" s="383"/>
      <c r="AC53" s="384"/>
      <c r="AD53" s="385"/>
      <c r="AE53" s="385"/>
      <c r="AF53" s="385"/>
      <c r="AG53" s="386"/>
      <c r="AH53" s="386"/>
      <c r="AI53" s="386"/>
      <c r="AJ53" s="386"/>
      <c r="AK53" s="386"/>
      <c r="AL53" s="386"/>
      <c r="AM53" s="387"/>
      <c r="AN53" s="388"/>
    </row>
    <row r="54" spans="1:40" s="136" customFormat="1" x14ac:dyDescent="0.25">
      <c r="A54" s="420"/>
      <c r="B54" s="370"/>
      <c r="C54" s="311"/>
      <c r="D54" s="373"/>
      <c r="E54" s="374"/>
      <c r="F54" s="376"/>
      <c r="G54" s="7"/>
      <c r="H54" s="32"/>
      <c r="I54" s="372"/>
      <c r="J54" s="368"/>
      <c r="K54" s="32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7"/>
      <c r="AD54" s="317"/>
      <c r="AE54" s="317"/>
      <c r="AF54" s="317"/>
      <c r="AG54" s="318"/>
      <c r="AH54" s="318"/>
      <c r="AI54" s="318"/>
      <c r="AJ54" s="318"/>
      <c r="AK54" s="318"/>
      <c r="AL54" s="318"/>
      <c r="AM54" s="319"/>
      <c r="AN54" s="192"/>
    </row>
    <row r="55" spans="1:40" s="8" customFormat="1" ht="18" x14ac:dyDescent="0.2">
      <c r="A55" s="456" t="s">
        <v>304</v>
      </c>
      <c r="B55" s="371"/>
      <c r="C55" s="32"/>
      <c r="D55" s="375"/>
      <c r="E55" s="33"/>
      <c r="F55" s="33"/>
      <c r="G55" s="110"/>
      <c r="H55" s="46">
        <f>SUM(H3:H53)</f>
        <v>11640.776666666667</v>
      </c>
      <c r="I55" s="46">
        <f>SUM(I3:I53)</f>
        <v>1826.7433333333331</v>
      </c>
      <c r="J55" s="46">
        <f>SUM(J3:J53)</f>
        <v>13467.52</v>
      </c>
      <c r="K55" s="117">
        <f>SUM(K4:K36)</f>
        <v>0</v>
      </c>
      <c r="L55" s="307">
        <f>SUM(L3:L51)</f>
        <v>7213.83</v>
      </c>
      <c r="M55" s="307">
        <f>SUM(M3:M53)</f>
        <v>62.5</v>
      </c>
      <c r="N55" s="307">
        <f>SUM(N4:N36)</f>
        <v>349.44</v>
      </c>
      <c r="O55" s="307">
        <f>SUM(O4:O38)</f>
        <v>390</v>
      </c>
      <c r="P55" s="307">
        <f>SUM(P4:P36)</f>
        <v>0</v>
      </c>
      <c r="Q55" s="307">
        <f>SUM(Q4:Q36)</f>
        <v>60</v>
      </c>
      <c r="R55" s="307">
        <f>SUM(R4:R36)</f>
        <v>110</v>
      </c>
      <c r="S55" s="307">
        <f>SUM(S4:S36)</f>
        <v>115.1</v>
      </c>
      <c r="T55" s="307">
        <f>SUM(T4:T45)</f>
        <v>179.15</v>
      </c>
      <c r="U55" s="308">
        <f>SUM(U4:U45)</f>
        <v>150</v>
      </c>
      <c r="V55" s="307">
        <f>SUM(V4:V36)</f>
        <v>621.59999999999991</v>
      </c>
      <c r="W55" s="307">
        <f>SUM(W4:W36)</f>
        <v>384</v>
      </c>
      <c r="X55" s="307">
        <f>SUM(X4:X45)</f>
        <v>795.59999999999991</v>
      </c>
      <c r="Y55" s="307">
        <f>SUM(Y4:Y36)</f>
        <v>82.2</v>
      </c>
      <c r="Z55" s="307">
        <f>SUM(Z4:Z36)</f>
        <v>201.59999999999997</v>
      </c>
      <c r="AA55" s="307">
        <f>SUM(AA4:AA36)</f>
        <v>0</v>
      </c>
      <c r="AB55" s="309">
        <f>SUM(AB4:AB45)</f>
        <v>1508.1</v>
      </c>
      <c r="AC55" s="307">
        <f>SUM(AC4:AC52)</f>
        <v>264</v>
      </c>
      <c r="AD55" s="307">
        <f>SUM(AD4:AD36)</f>
        <v>518.4</v>
      </c>
      <c r="AE55" s="307">
        <f>SUM(AE4:AE45)</f>
        <v>342</v>
      </c>
      <c r="AF55" s="310">
        <f>SUM(AF4:AF45)</f>
        <v>2689.2</v>
      </c>
      <c r="AG55" s="307">
        <f>SUM(AG4:AG36)</f>
        <v>0</v>
      </c>
      <c r="AH55" s="307">
        <f>SUM(AH4:AH36)</f>
        <v>0</v>
      </c>
      <c r="AI55" s="307">
        <f>SUM(AI4:AI46)</f>
        <v>0</v>
      </c>
      <c r="AJ55" s="307">
        <f>SUM(AJ4:AJ36)</f>
        <v>0</v>
      </c>
      <c r="AK55" s="307">
        <f>SUM(AK4:AK36)</f>
        <v>0</v>
      </c>
      <c r="AL55" s="307">
        <f>SUM(AL4:AL46)</f>
        <v>120</v>
      </c>
      <c r="AM55" s="307">
        <f>SUM(AM4:AM36)</f>
        <v>0</v>
      </c>
      <c r="AN55" s="244">
        <f>SUM(L55:AM55)-AF55</f>
        <v>13467.52</v>
      </c>
    </row>
    <row r="56" spans="1:40" s="8" customFormat="1" x14ac:dyDescent="0.25">
      <c r="A56" s="414"/>
      <c r="B56" s="31"/>
      <c r="C56" s="32"/>
      <c r="D56" s="32"/>
      <c r="E56" s="33"/>
      <c r="F56" s="33"/>
      <c r="G56" s="110"/>
      <c r="H56" s="32"/>
      <c r="I56" s="187"/>
      <c r="J56" s="32"/>
      <c r="K56" s="32"/>
      <c r="L56" s="125"/>
      <c r="M56" s="125"/>
      <c r="N56" s="35"/>
      <c r="O56" s="35"/>
      <c r="P56" s="35"/>
      <c r="Q56" s="35"/>
      <c r="R56" s="35"/>
      <c r="S56" s="35"/>
      <c r="T56" s="35"/>
      <c r="U56" s="234"/>
      <c r="V56" s="32"/>
      <c r="W56" s="32"/>
      <c r="X56" s="32"/>
      <c r="Y56" s="32"/>
      <c r="Z56" s="117">
        <f>SUM(V55:Z55)+AD55+AE55-Y55</f>
        <v>2863.2000000000003</v>
      </c>
      <c r="AA56" s="32"/>
      <c r="AB56" s="218"/>
      <c r="AC56" s="32"/>
      <c r="AD56" s="13"/>
      <c r="AE56" s="13"/>
      <c r="AF56" s="210"/>
      <c r="AG56" s="198">
        <f>SUM(V55:Z55)+AD55+AE55</f>
        <v>2945.4</v>
      </c>
      <c r="AH56" s="7"/>
      <c r="AI56" s="7"/>
      <c r="AJ56" s="7"/>
      <c r="AK56" s="7"/>
      <c r="AL56" s="7"/>
      <c r="AM56" s="17"/>
    </row>
    <row r="57" spans="1:40" s="12" customFormat="1" x14ac:dyDescent="0.25">
      <c r="A57" s="421" t="s">
        <v>7</v>
      </c>
      <c r="B57" s="37"/>
      <c r="C57" s="36"/>
      <c r="D57" s="36"/>
      <c r="E57" s="38"/>
      <c r="F57" s="38"/>
      <c r="G57" s="111"/>
      <c r="H57" s="39"/>
      <c r="I57" s="39"/>
      <c r="J57" s="39"/>
      <c r="K57" s="39"/>
      <c r="L57" s="127">
        <f t="shared" ref="L57:T57" si="1">L55</f>
        <v>7213.83</v>
      </c>
      <c r="M57" s="127">
        <f t="shared" si="1"/>
        <v>62.5</v>
      </c>
      <c r="N57" s="40">
        <f t="shared" si="1"/>
        <v>349.44</v>
      </c>
      <c r="O57" s="40">
        <f t="shared" si="1"/>
        <v>390</v>
      </c>
      <c r="P57" s="40">
        <f t="shared" si="1"/>
        <v>0</v>
      </c>
      <c r="Q57" s="40">
        <f t="shared" si="1"/>
        <v>60</v>
      </c>
      <c r="R57" s="40">
        <f t="shared" si="1"/>
        <v>110</v>
      </c>
      <c r="S57" s="40">
        <f t="shared" si="1"/>
        <v>115.1</v>
      </c>
      <c r="T57" s="40">
        <f t="shared" si="1"/>
        <v>179.15</v>
      </c>
      <c r="U57" s="234">
        <f>SUM(L57:T57)</f>
        <v>8480.0199999999986</v>
      </c>
      <c r="V57" s="41">
        <f>V55</f>
        <v>621.59999999999991</v>
      </c>
      <c r="W57" s="41">
        <f>W55</f>
        <v>384</v>
      </c>
      <c r="X57" s="42">
        <f>X55</f>
        <v>795.59999999999991</v>
      </c>
      <c r="Y57" s="42">
        <v>100</v>
      </c>
      <c r="Z57" s="42">
        <f>Z55</f>
        <v>201.59999999999997</v>
      </c>
      <c r="AA57" s="43">
        <f>AA55</f>
        <v>0</v>
      </c>
      <c r="AB57" s="220"/>
      <c r="AC57" s="43">
        <f>AC55</f>
        <v>264</v>
      </c>
      <c r="AD57" s="11">
        <f>AD55</f>
        <v>518.4</v>
      </c>
      <c r="AE57" s="11"/>
      <c r="AF57" s="211"/>
      <c r="AG57" s="11">
        <f>AG55</f>
        <v>0</v>
      </c>
      <c r="AH57" s="11">
        <f>AH55</f>
        <v>0</v>
      </c>
      <c r="AI57" s="11" t="e">
        <f>SUM(#REF!)</f>
        <v>#REF!</v>
      </c>
      <c r="AJ57" s="11" t="e">
        <f>SUM(#REF!)</f>
        <v>#REF!</v>
      </c>
      <c r="AK57" s="11" t="e">
        <f>SUM(#REF!)</f>
        <v>#REF!</v>
      </c>
      <c r="AL57" s="11" t="e">
        <f>SUM(#REF!)</f>
        <v>#REF!</v>
      </c>
      <c r="AM57" s="10" t="e">
        <f>SUM(AN3:AN89)</f>
        <v>#REF!</v>
      </c>
      <c r="AN57" s="8" t="e">
        <f>SUM(L57:AL57)</f>
        <v>#REF!</v>
      </c>
    </row>
    <row r="58" spans="1:40" s="12" customFormat="1" ht="21" hidden="1" x14ac:dyDescent="0.25">
      <c r="A58" s="421"/>
      <c r="B58" s="37"/>
      <c r="C58" s="36"/>
      <c r="D58" s="36"/>
      <c r="E58" s="38"/>
      <c r="F58" s="38"/>
      <c r="G58" s="111"/>
      <c r="H58" s="39"/>
      <c r="I58" s="39"/>
      <c r="J58" s="39"/>
      <c r="K58" s="39"/>
      <c r="L58" s="127"/>
      <c r="M58" s="127"/>
      <c r="N58" s="40"/>
      <c r="O58" s="40"/>
      <c r="P58" s="40"/>
      <c r="Q58" s="40"/>
      <c r="R58" s="40"/>
      <c r="S58" s="40"/>
      <c r="T58" s="40"/>
      <c r="U58" s="235"/>
      <c r="V58" s="43"/>
      <c r="W58" s="43"/>
      <c r="X58" s="42"/>
      <c r="Y58" s="42"/>
      <c r="Z58" s="42"/>
      <c r="AA58" s="43"/>
      <c r="AB58" s="220"/>
      <c r="AC58" s="43" t="s">
        <v>38</v>
      </c>
      <c r="AD58" s="11"/>
      <c r="AE58" s="11"/>
      <c r="AF58" s="211"/>
      <c r="AG58" s="11" t="s">
        <v>39</v>
      </c>
      <c r="AH58" s="11" t="s">
        <v>39</v>
      </c>
      <c r="AI58" s="11"/>
      <c r="AJ58" s="11"/>
      <c r="AK58" s="11"/>
      <c r="AL58" s="11"/>
      <c r="AM58" s="16"/>
      <c r="AN58" s="8">
        <f>SUM(L58:AL58)</f>
        <v>0</v>
      </c>
    </row>
    <row r="59" spans="1:40" s="12" customFormat="1" ht="21" hidden="1" x14ac:dyDescent="0.25">
      <c r="A59" s="801" t="s">
        <v>37</v>
      </c>
      <c r="B59" s="801"/>
      <c r="C59" s="801"/>
      <c r="D59" s="25"/>
      <c r="E59" s="38"/>
      <c r="F59" s="27"/>
      <c r="G59" s="25"/>
      <c r="H59" s="25"/>
      <c r="I59" s="44"/>
      <c r="J59" s="44">
        <f>J57-L57</f>
        <v>-7213.83</v>
      </c>
      <c r="K59" s="25"/>
      <c r="L59" s="128">
        <v>3700</v>
      </c>
      <c r="M59" s="128">
        <v>250</v>
      </c>
      <c r="N59" s="45">
        <v>380</v>
      </c>
      <c r="O59" s="45">
        <v>375</v>
      </c>
      <c r="P59" s="45">
        <v>60</v>
      </c>
      <c r="Q59" s="45">
        <v>60</v>
      </c>
      <c r="R59" s="45">
        <v>70</v>
      </c>
      <c r="S59" s="45">
        <v>200</v>
      </c>
      <c r="T59" s="45">
        <v>100</v>
      </c>
      <c r="U59" s="236"/>
      <c r="V59" s="25">
        <v>700</v>
      </c>
      <c r="W59" s="25">
        <v>400</v>
      </c>
      <c r="X59" s="25">
        <v>840</v>
      </c>
      <c r="Y59" s="44">
        <f>Y57-Y55</f>
        <v>17.799999999999997</v>
      </c>
      <c r="Z59" s="25">
        <v>300</v>
      </c>
      <c r="AA59" s="25">
        <v>8500</v>
      </c>
      <c r="AB59" s="221">
        <f>1186+4686.41</f>
        <v>5872.41</v>
      </c>
      <c r="AC59" s="25">
        <v>500</v>
      </c>
      <c r="AD59" s="1">
        <v>550</v>
      </c>
      <c r="AE59" s="1"/>
      <c r="AF59" s="212"/>
      <c r="AG59" s="1">
        <v>600</v>
      </c>
      <c r="AH59" s="1">
        <f>434.72+65.28</f>
        <v>500</v>
      </c>
      <c r="AI59" s="1">
        <f>186.44+345.12</f>
        <v>531.55999999999995</v>
      </c>
      <c r="AJ59" s="1">
        <f>636-156</f>
        <v>480</v>
      </c>
      <c r="AK59" s="1">
        <f>14268+1486.79</f>
        <v>15754.79</v>
      </c>
      <c r="AL59" s="1">
        <v>5407.11</v>
      </c>
      <c r="AM59" s="10"/>
      <c r="AN59" s="8">
        <f>SUM(L59:AL59)</f>
        <v>46148.67</v>
      </c>
    </row>
    <row r="60" spans="1:40" s="12" customFormat="1" hidden="1" x14ac:dyDescent="0.25">
      <c r="A60" s="421"/>
      <c r="B60" s="37"/>
      <c r="C60" s="36"/>
      <c r="D60" s="36"/>
      <c r="E60" s="38"/>
      <c r="F60" s="38"/>
      <c r="G60" s="111"/>
      <c r="H60" s="39"/>
      <c r="I60" s="39"/>
      <c r="J60" s="39"/>
      <c r="K60" s="39"/>
      <c r="L60" s="127"/>
      <c r="M60" s="127"/>
      <c r="N60" s="40"/>
      <c r="O60" s="40"/>
      <c r="P60" s="40"/>
      <c r="Q60" s="40"/>
      <c r="R60" s="40"/>
      <c r="S60" s="40"/>
      <c r="T60" s="40"/>
      <c r="U60" s="235"/>
      <c r="V60" s="46"/>
      <c r="W60" s="39"/>
      <c r="X60" s="39"/>
      <c r="Y60" s="39"/>
      <c r="Z60" s="39"/>
      <c r="AA60" s="39"/>
      <c r="AB60" s="220"/>
      <c r="AC60" s="39"/>
      <c r="AD60" s="10"/>
      <c r="AE60" s="10"/>
      <c r="AF60" s="211"/>
      <c r="AG60" s="10"/>
      <c r="AH60" s="10"/>
      <c r="AI60" s="10"/>
      <c r="AJ60" s="10"/>
      <c r="AK60" s="10"/>
      <c r="AL60" s="10"/>
      <c r="AM60" s="10"/>
      <c r="AN60" s="8">
        <f>SUM(L60:AL60)</f>
        <v>0</v>
      </c>
    </row>
    <row r="61" spans="1:40" s="12" customFormat="1" hidden="1" x14ac:dyDescent="0.25">
      <c r="A61" s="421" t="s">
        <v>36</v>
      </c>
      <c r="B61" s="37"/>
      <c r="C61" s="36"/>
      <c r="D61" s="36"/>
      <c r="E61" s="38"/>
      <c r="F61" s="38"/>
      <c r="G61" s="111"/>
      <c r="H61" s="39"/>
      <c r="I61" s="39">
        <f>J57-11764.26</f>
        <v>-11764.26</v>
      </c>
      <c r="J61" s="39"/>
      <c r="K61" s="39"/>
      <c r="L61" s="127">
        <f t="shared" ref="L61:AK61" si="2">L59-L57</f>
        <v>-3513.83</v>
      </c>
      <c r="M61" s="127">
        <f t="shared" si="2"/>
        <v>187.5</v>
      </c>
      <c r="N61" s="40">
        <f t="shared" si="2"/>
        <v>30.560000000000002</v>
      </c>
      <c r="O61" s="40">
        <f t="shared" si="2"/>
        <v>-15</v>
      </c>
      <c r="P61" s="40">
        <f t="shared" si="2"/>
        <v>60</v>
      </c>
      <c r="Q61" s="40">
        <f t="shared" si="2"/>
        <v>0</v>
      </c>
      <c r="R61" s="40">
        <f t="shared" si="2"/>
        <v>-40</v>
      </c>
      <c r="S61" s="40">
        <f t="shared" si="2"/>
        <v>84.9</v>
      </c>
      <c r="T61" s="40">
        <f t="shared" si="2"/>
        <v>-79.150000000000006</v>
      </c>
      <c r="U61" s="235"/>
      <c r="V61" s="39">
        <f t="shared" si="2"/>
        <v>78.400000000000091</v>
      </c>
      <c r="W61" s="39">
        <f t="shared" si="2"/>
        <v>16</v>
      </c>
      <c r="X61" s="39">
        <f t="shared" si="2"/>
        <v>44.400000000000091</v>
      </c>
      <c r="Y61" s="39"/>
      <c r="Z61" s="39">
        <f t="shared" si="2"/>
        <v>98.400000000000034</v>
      </c>
      <c r="AA61" s="39">
        <f t="shared" si="2"/>
        <v>8500</v>
      </c>
      <c r="AB61" s="220" t="e">
        <f>AB59-#REF!</f>
        <v>#REF!</v>
      </c>
      <c r="AC61" s="39">
        <f t="shared" si="2"/>
        <v>236</v>
      </c>
      <c r="AD61" s="10">
        <f t="shared" si="2"/>
        <v>31.600000000000023</v>
      </c>
      <c r="AE61" s="10"/>
      <c r="AF61" s="211"/>
      <c r="AG61" s="10">
        <f t="shared" si="2"/>
        <v>600</v>
      </c>
      <c r="AH61" s="10">
        <f t="shared" si="2"/>
        <v>500</v>
      </c>
      <c r="AI61" s="10" t="e">
        <f t="shared" si="2"/>
        <v>#REF!</v>
      </c>
      <c r="AJ61" s="10" t="e">
        <f t="shared" si="2"/>
        <v>#REF!</v>
      </c>
      <c r="AK61" s="10" t="e">
        <f t="shared" si="2"/>
        <v>#REF!</v>
      </c>
      <c r="AL61" s="10" t="e">
        <f>AL57-AL59</f>
        <v>#REF!</v>
      </c>
      <c r="AM61" s="9"/>
      <c r="AN61" s="8" t="e">
        <f>SUM(L61:AL61)</f>
        <v>#REF!</v>
      </c>
    </row>
    <row r="62" spans="1:40" ht="16" hidden="1" x14ac:dyDescent="0.2">
      <c r="A62" s="422"/>
      <c r="B62" s="48"/>
      <c r="C62" s="47"/>
      <c r="D62" s="47"/>
      <c r="E62" s="49"/>
      <c r="F62" s="49"/>
      <c r="G62" s="164"/>
      <c r="H62" s="47"/>
      <c r="I62" s="47"/>
      <c r="J62" s="47"/>
      <c r="K62" s="47"/>
      <c r="L62" s="125"/>
      <c r="M62" s="125"/>
      <c r="N62" s="50"/>
      <c r="O62" s="50"/>
      <c r="P62" s="50"/>
      <c r="Q62" s="50"/>
      <c r="R62" s="50"/>
      <c r="S62" s="50"/>
      <c r="T62" s="50"/>
      <c r="U62" s="237"/>
      <c r="V62" s="32"/>
      <c r="W62" s="32"/>
      <c r="X62" s="47"/>
      <c r="Y62" s="47"/>
      <c r="Z62" s="47"/>
      <c r="AA62" s="47"/>
      <c r="AB62" s="218"/>
      <c r="AC62" s="47"/>
      <c r="AD62" s="4"/>
      <c r="AE62" s="4"/>
      <c r="AF62" s="213"/>
      <c r="AG62" s="4"/>
      <c r="AH62" s="4"/>
      <c r="AI62" s="4"/>
      <c r="AJ62" s="4"/>
      <c r="AK62" s="4"/>
      <c r="AL62" s="4"/>
      <c r="AM62" s="19"/>
      <c r="AN62" s="8">
        <f>SUM(K62:AM62)</f>
        <v>0</v>
      </c>
    </row>
    <row r="63" spans="1:40" ht="16" hidden="1" x14ac:dyDescent="0.2">
      <c r="A63" s="341"/>
      <c r="B63" s="53"/>
      <c r="C63" s="52"/>
      <c r="D63" s="52"/>
      <c r="E63" s="54"/>
      <c r="F63" s="54"/>
      <c r="G63" s="112"/>
      <c r="H63" s="52"/>
      <c r="I63" s="52"/>
      <c r="J63" s="52"/>
      <c r="K63" s="52"/>
      <c r="L63" s="52"/>
      <c r="M63" s="123"/>
      <c r="N63" s="123"/>
      <c r="O63" s="55"/>
      <c r="P63" s="55"/>
      <c r="Q63" s="55"/>
      <c r="R63" s="55"/>
      <c r="S63" s="55"/>
      <c r="T63" s="55"/>
      <c r="U63" s="232"/>
      <c r="V63" s="52"/>
      <c r="W63" s="52"/>
      <c r="X63" s="52"/>
      <c r="Y63" s="52"/>
      <c r="Z63" s="52"/>
      <c r="AA63" s="52"/>
      <c r="AB63" s="222"/>
      <c r="AC63" s="52"/>
      <c r="AD63" s="52"/>
      <c r="AE63" s="52"/>
      <c r="AF63" s="214"/>
    </row>
    <row r="64" spans="1:40" ht="16" hidden="1" x14ac:dyDescent="0.2">
      <c r="A64" s="341"/>
      <c r="B64" s="314"/>
      <c r="C64" s="56" t="s">
        <v>45</v>
      </c>
      <c r="D64" s="57">
        <v>38961.69</v>
      </c>
      <c r="E64" s="58"/>
      <c r="F64" s="396" t="s">
        <v>123</v>
      </c>
      <c r="G64" s="113"/>
      <c r="H64" s="52"/>
      <c r="I64" s="52"/>
      <c r="J64" s="52"/>
      <c r="K64" s="36" t="s">
        <v>78</v>
      </c>
      <c r="L64" s="59"/>
      <c r="M64" s="129"/>
      <c r="N64" s="123"/>
      <c r="O64" s="55"/>
      <c r="P64" s="55"/>
      <c r="Q64" s="55"/>
      <c r="R64" s="55"/>
      <c r="S64" s="55"/>
      <c r="T64" s="55"/>
      <c r="U64" s="238">
        <f>SUM(L57:T57)</f>
        <v>8480.0199999999986</v>
      </c>
      <c r="V64" s="60"/>
      <c r="W64" s="52"/>
      <c r="X64" s="52"/>
      <c r="Y64" s="52"/>
      <c r="Z64" s="52"/>
      <c r="AA64" s="52"/>
      <c r="AB64" s="222"/>
      <c r="AC64" s="52"/>
      <c r="AD64" s="52"/>
      <c r="AE64" s="52"/>
      <c r="AF64" s="214"/>
      <c r="AL64" s="14"/>
    </row>
    <row r="65" spans="1:32" ht="46" hidden="1" thickBot="1" x14ac:dyDescent="0.25">
      <c r="A65" s="341"/>
      <c r="B65" s="314"/>
      <c r="C65" s="47" t="s">
        <v>57</v>
      </c>
      <c r="D65" s="59">
        <v>21678.5</v>
      </c>
      <c r="E65" s="54"/>
      <c r="F65" s="397" t="s">
        <v>58</v>
      </c>
      <c r="G65" s="61"/>
      <c r="H65" s="62" t="s">
        <v>59</v>
      </c>
      <c r="I65" s="63">
        <v>31510.95</v>
      </c>
      <c r="J65" s="52"/>
      <c r="K65" s="47" t="s">
        <v>69</v>
      </c>
      <c r="L65" s="64"/>
      <c r="M65" s="129"/>
      <c r="N65" s="123"/>
      <c r="O65" s="99">
        <v>2194.9699999999998</v>
      </c>
      <c r="P65" s="55"/>
      <c r="Q65" s="55"/>
      <c r="R65" s="55"/>
      <c r="S65" s="55"/>
      <c r="T65" s="55"/>
      <c r="U65" s="238">
        <f>U64-K57</f>
        <v>8480.0199999999986</v>
      </c>
      <c r="V65" s="60"/>
      <c r="W65" s="52"/>
      <c r="X65" s="52"/>
      <c r="Y65" s="52"/>
      <c r="Z65" s="52"/>
      <c r="AA65" s="52"/>
      <c r="AB65" s="222"/>
      <c r="AC65" s="52"/>
      <c r="AD65" s="52"/>
      <c r="AE65" s="52"/>
      <c r="AF65" s="214"/>
    </row>
    <row r="66" spans="1:32" ht="46" hidden="1" thickBot="1" x14ac:dyDescent="0.25">
      <c r="A66" s="341"/>
      <c r="B66" s="48"/>
      <c r="C66" s="47" t="s">
        <v>43</v>
      </c>
      <c r="D66" s="59">
        <v>56.35</v>
      </c>
      <c r="E66" s="65"/>
      <c r="F66" s="398" t="s">
        <v>60</v>
      </c>
      <c r="G66" s="66"/>
      <c r="H66" s="23" t="s">
        <v>61</v>
      </c>
      <c r="I66" s="67"/>
      <c r="J66" s="52"/>
      <c r="K66" s="47" t="s">
        <v>70</v>
      </c>
      <c r="L66" s="68"/>
      <c r="M66" s="125"/>
      <c r="N66" s="123"/>
      <c r="O66" s="100">
        <v>70</v>
      </c>
      <c r="P66" s="55"/>
      <c r="Q66" s="55"/>
      <c r="R66" s="55"/>
      <c r="S66" s="55"/>
      <c r="T66" s="55"/>
      <c r="U66" s="239"/>
      <c r="V66" s="52"/>
      <c r="W66" s="52"/>
      <c r="X66" s="52"/>
      <c r="Y66" s="52"/>
      <c r="Z66" s="52"/>
      <c r="AA66" s="52"/>
      <c r="AB66" s="222"/>
      <c r="AC66" s="52"/>
      <c r="AD66" s="52"/>
      <c r="AE66" s="52"/>
      <c r="AF66" s="214"/>
    </row>
    <row r="67" spans="1:32" ht="31" hidden="1" thickBot="1" x14ac:dyDescent="0.25">
      <c r="A67" s="341"/>
      <c r="B67" s="48"/>
      <c r="C67" s="47"/>
      <c r="D67" s="47"/>
      <c r="E67" s="54"/>
      <c r="F67" s="398" t="s">
        <v>62</v>
      </c>
      <c r="G67" s="66"/>
      <c r="H67" s="23" t="s">
        <v>63</v>
      </c>
      <c r="I67" s="69">
        <v>0</v>
      </c>
      <c r="J67" s="52"/>
      <c r="K67" s="47" t="s">
        <v>71</v>
      </c>
      <c r="L67" s="59"/>
      <c r="M67" s="125"/>
      <c r="N67" s="123"/>
      <c r="O67" s="100"/>
      <c r="P67" s="55"/>
      <c r="Q67" s="55"/>
      <c r="R67" s="55"/>
      <c r="S67" s="55"/>
      <c r="T67" s="55"/>
      <c r="U67" s="239"/>
      <c r="V67" s="52"/>
      <c r="W67" s="52"/>
      <c r="X67" s="52"/>
      <c r="Y67" s="52"/>
      <c r="Z67" s="52"/>
      <c r="AA67" s="52"/>
      <c r="AB67" s="222"/>
      <c r="AC67" s="52"/>
      <c r="AD67" s="52"/>
      <c r="AE67" s="52"/>
      <c r="AF67" s="214"/>
    </row>
    <row r="68" spans="1:32" ht="46" hidden="1" thickBot="1" x14ac:dyDescent="0.25">
      <c r="A68" s="341"/>
      <c r="B68" s="48"/>
      <c r="C68" s="47" t="s">
        <v>12</v>
      </c>
      <c r="D68" s="59">
        <f>E92</f>
        <v>29109.420000000006</v>
      </c>
      <c r="E68" s="54"/>
      <c r="F68" s="398" t="s">
        <v>64</v>
      </c>
      <c r="G68" s="66"/>
      <c r="H68" s="23" t="s">
        <v>65</v>
      </c>
      <c r="I68" s="69">
        <v>0</v>
      </c>
      <c r="J68" s="52"/>
      <c r="K68" s="32" t="s">
        <v>72</v>
      </c>
      <c r="L68" s="64"/>
      <c r="M68" s="125"/>
      <c r="N68" s="123"/>
      <c r="O68" s="100"/>
      <c r="P68" s="55"/>
      <c r="Q68" s="55"/>
      <c r="R68" s="55"/>
      <c r="S68" s="55"/>
      <c r="T68" s="55"/>
      <c r="U68" s="239"/>
      <c r="V68" s="52"/>
      <c r="W68" s="52"/>
      <c r="X68" s="52"/>
      <c r="Y68" s="52"/>
      <c r="Z68" s="52"/>
      <c r="AA68" s="52"/>
      <c r="AB68" s="222"/>
      <c r="AC68" s="52"/>
      <c r="AD68" s="52"/>
      <c r="AE68" s="52"/>
      <c r="AF68" s="214"/>
    </row>
    <row r="69" spans="1:32" ht="17" hidden="1" thickBot="1" x14ac:dyDescent="0.25">
      <c r="A69" s="341"/>
      <c r="B69" s="48"/>
      <c r="C69" s="47" t="s">
        <v>42</v>
      </c>
      <c r="D69" s="59">
        <f>J57</f>
        <v>0</v>
      </c>
      <c r="E69" s="54"/>
      <c r="F69" s="398"/>
      <c r="G69" s="23"/>
      <c r="H69" s="23"/>
      <c r="I69" s="24"/>
      <c r="J69" s="52"/>
      <c r="K69" s="32" t="s">
        <v>73</v>
      </c>
      <c r="L69" s="59">
        <v>0</v>
      </c>
      <c r="M69" s="125"/>
      <c r="N69" s="123"/>
      <c r="O69" s="100"/>
      <c r="P69" s="55"/>
      <c r="Q69" s="55"/>
      <c r="R69" s="55"/>
      <c r="S69" s="55"/>
      <c r="T69" s="55"/>
      <c r="U69" s="239"/>
      <c r="V69" s="52"/>
      <c r="W69" s="52"/>
      <c r="X69" s="52"/>
      <c r="Y69" s="52"/>
      <c r="Z69" s="52"/>
      <c r="AA69" s="52"/>
      <c r="AB69" s="222"/>
      <c r="AC69" s="52"/>
      <c r="AD69" s="52"/>
      <c r="AE69" s="52"/>
      <c r="AF69" s="214"/>
    </row>
    <row r="70" spans="1:32" ht="46" hidden="1" thickBot="1" x14ac:dyDescent="0.25">
      <c r="A70" s="341"/>
      <c r="B70" s="48"/>
      <c r="C70" s="47" t="s">
        <v>44</v>
      </c>
      <c r="D70" s="59" t="e">
        <f>SUM(#REF!)</f>
        <v>#REF!</v>
      </c>
      <c r="E70" s="54"/>
      <c r="F70" s="399" t="s">
        <v>66</v>
      </c>
      <c r="G70" s="70"/>
      <c r="H70" s="71" t="s">
        <v>67</v>
      </c>
      <c r="I70" s="72"/>
      <c r="J70" s="52"/>
      <c r="K70" s="32" t="s">
        <v>74</v>
      </c>
      <c r="L70" s="59"/>
      <c r="M70" s="125"/>
      <c r="N70" s="123"/>
      <c r="O70" s="100"/>
      <c r="P70" s="55"/>
      <c r="Q70" s="55"/>
      <c r="R70" s="55"/>
      <c r="S70" s="55"/>
      <c r="T70" s="55"/>
      <c r="U70" s="239"/>
      <c r="V70" s="52"/>
      <c r="W70" s="52"/>
      <c r="X70" s="52"/>
      <c r="Y70" s="52"/>
      <c r="Z70" s="52"/>
      <c r="AA70" s="52"/>
      <c r="AB70" s="222"/>
      <c r="AC70" s="52"/>
      <c r="AD70" s="52"/>
      <c r="AE70" s="52"/>
      <c r="AF70" s="214"/>
    </row>
    <row r="71" spans="1:32" ht="17" hidden="1" thickBot="1" x14ac:dyDescent="0.25">
      <c r="A71" s="341"/>
      <c r="B71" s="48"/>
      <c r="C71" s="47" t="s">
        <v>41</v>
      </c>
      <c r="D71" s="59">
        <v>38961.69</v>
      </c>
      <c r="E71" s="54"/>
      <c r="F71" s="396" t="s">
        <v>68</v>
      </c>
      <c r="G71" s="113"/>
      <c r="H71" s="52"/>
      <c r="I71" s="52"/>
      <c r="J71" s="52"/>
      <c r="K71" s="32" t="s">
        <v>75</v>
      </c>
      <c r="L71" s="73">
        <f>(L65+L66+L67)-(L68+L70)</f>
        <v>0</v>
      </c>
      <c r="M71" s="125"/>
      <c r="N71" s="123"/>
      <c r="O71" s="100">
        <v>50</v>
      </c>
      <c r="P71" s="55"/>
      <c r="Q71" s="55"/>
      <c r="R71" s="55"/>
      <c r="S71" s="55"/>
      <c r="T71" s="55"/>
      <c r="U71" s="239"/>
      <c r="V71" s="52"/>
      <c r="W71" s="52"/>
      <c r="X71" s="52"/>
      <c r="Y71" s="52"/>
      <c r="Z71" s="52"/>
      <c r="AA71" s="52"/>
      <c r="AB71" s="222"/>
      <c r="AC71" s="52"/>
      <c r="AD71" s="52"/>
      <c r="AE71" s="52"/>
      <c r="AF71" s="214"/>
    </row>
    <row r="72" spans="1:32" ht="17" hidden="1" thickBot="1" x14ac:dyDescent="0.25">
      <c r="A72" s="341"/>
      <c r="B72" s="48"/>
      <c r="C72" s="32" t="s">
        <v>47</v>
      </c>
      <c r="D72" s="59">
        <v>11991.8</v>
      </c>
      <c r="E72" s="54"/>
      <c r="F72" s="54"/>
      <c r="G72" s="112"/>
      <c r="H72" s="52"/>
      <c r="I72" s="74"/>
      <c r="J72" s="52"/>
      <c r="K72" s="32" t="s">
        <v>76</v>
      </c>
      <c r="L72" s="75"/>
      <c r="M72" s="129">
        <f>L71-L72</f>
        <v>0</v>
      </c>
      <c r="N72" s="123"/>
      <c r="O72" s="100">
        <v>115.1</v>
      </c>
      <c r="P72" s="55"/>
      <c r="Q72" s="55"/>
      <c r="R72" s="55"/>
      <c r="S72" s="55"/>
      <c r="T72" s="55"/>
      <c r="U72" s="239"/>
      <c r="V72" s="52"/>
      <c r="W72" s="52"/>
      <c r="X72" s="52"/>
      <c r="Y72" s="52"/>
      <c r="Z72" s="52"/>
      <c r="AA72" s="52"/>
      <c r="AB72" s="222"/>
      <c r="AC72" s="52"/>
      <c r="AD72" s="52"/>
      <c r="AE72" s="52"/>
      <c r="AF72" s="214"/>
    </row>
    <row r="73" spans="1:32" ht="17" hidden="1" thickBot="1" x14ac:dyDescent="0.25">
      <c r="A73" s="341"/>
      <c r="B73" s="76"/>
      <c r="C73" s="77" t="s">
        <v>48</v>
      </c>
      <c r="D73" s="78">
        <f>D71+D72</f>
        <v>50953.490000000005</v>
      </c>
      <c r="E73" s="79"/>
      <c r="F73" s="54"/>
      <c r="G73" s="112"/>
      <c r="H73" s="52"/>
      <c r="I73" s="74"/>
      <c r="J73" s="52"/>
      <c r="K73" s="32" t="s">
        <v>77</v>
      </c>
      <c r="L73" s="64"/>
      <c r="M73" s="125"/>
      <c r="N73" s="123"/>
      <c r="O73" s="101">
        <v>179.15</v>
      </c>
      <c r="P73" s="55"/>
      <c r="Q73" s="55"/>
      <c r="R73" s="55"/>
      <c r="S73" s="55"/>
      <c r="T73" s="55"/>
      <c r="U73" s="239"/>
      <c r="V73" s="52"/>
      <c r="W73" s="52"/>
      <c r="X73" s="52"/>
      <c r="Y73" s="52"/>
      <c r="Z73" s="52"/>
      <c r="AA73" s="52"/>
      <c r="AB73" s="222"/>
      <c r="AC73" s="52"/>
      <c r="AD73" s="52"/>
      <c r="AE73" s="52"/>
      <c r="AF73" s="214"/>
    </row>
    <row r="74" spans="1:32" ht="17" hidden="1" thickBot="1" x14ac:dyDescent="0.25">
      <c r="A74" s="423"/>
      <c r="B74" s="81"/>
      <c r="C74" s="80"/>
      <c r="D74" s="82"/>
      <c r="E74" s="83">
        <f>D64-D71</f>
        <v>0</v>
      </c>
      <c r="F74" s="54"/>
      <c r="G74" s="112"/>
      <c r="H74" s="52"/>
      <c r="I74" s="74"/>
      <c r="J74" s="52"/>
      <c r="K74" s="32" t="s">
        <v>79</v>
      </c>
      <c r="L74" s="47">
        <v>0</v>
      </c>
      <c r="M74" s="125"/>
      <c r="N74" s="123"/>
      <c r="O74" s="100"/>
      <c r="P74" s="55"/>
      <c r="Q74" s="55"/>
      <c r="R74" s="55"/>
      <c r="S74" s="55"/>
      <c r="T74" s="55"/>
      <c r="U74" s="239"/>
      <c r="V74" s="52"/>
      <c r="W74" s="52"/>
      <c r="X74" s="52"/>
      <c r="Y74" s="52"/>
      <c r="Z74" s="52"/>
      <c r="AA74" s="52"/>
      <c r="AB74" s="222"/>
      <c r="AC74" s="52"/>
      <c r="AD74" s="52"/>
      <c r="AE74" s="52"/>
      <c r="AF74" s="214"/>
    </row>
    <row r="75" spans="1:32" ht="17" hidden="1" thickBot="1" x14ac:dyDescent="0.25">
      <c r="A75" s="423"/>
      <c r="B75" s="84"/>
      <c r="C75" s="80"/>
      <c r="D75" s="82"/>
      <c r="E75" s="85"/>
      <c r="F75" s="54"/>
      <c r="G75" s="112"/>
      <c r="H75" s="52"/>
      <c r="I75" s="74"/>
      <c r="J75" s="74"/>
      <c r="K75" s="74"/>
      <c r="L75" s="74"/>
      <c r="M75" s="123"/>
      <c r="N75" s="123"/>
      <c r="O75" s="102"/>
      <c r="P75" s="55"/>
      <c r="Q75" s="55"/>
      <c r="R75" s="55"/>
      <c r="S75" s="55"/>
      <c r="T75" s="55"/>
      <c r="U75" s="239"/>
      <c r="V75" s="52"/>
      <c r="W75" s="52"/>
      <c r="X75" s="52"/>
      <c r="Y75" s="52"/>
      <c r="Z75" s="52"/>
      <c r="AA75" s="52"/>
      <c r="AB75" s="222"/>
      <c r="AC75" s="52"/>
      <c r="AD75" s="52"/>
      <c r="AE75" s="52"/>
      <c r="AF75" s="214"/>
    </row>
    <row r="76" spans="1:32" ht="17" hidden="1" thickBot="1" x14ac:dyDescent="0.25">
      <c r="A76" s="423"/>
      <c r="B76" s="81"/>
      <c r="C76" s="80"/>
      <c r="D76" s="82"/>
      <c r="E76" s="85"/>
      <c r="F76" s="58"/>
      <c r="G76" s="114"/>
      <c r="H76" s="52"/>
      <c r="I76" s="74"/>
      <c r="J76" s="74"/>
      <c r="K76" s="74"/>
      <c r="L76" s="74"/>
      <c r="M76" s="123"/>
      <c r="N76" s="123"/>
      <c r="O76" s="103">
        <v>266.39999999999998</v>
      </c>
      <c r="P76" s="55"/>
      <c r="Q76" s="55"/>
      <c r="R76" s="55"/>
      <c r="S76" s="55"/>
      <c r="T76" s="55"/>
      <c r="U76" s="239"/>
      <c r="V76" s="52"/>
      <c r="W76" s="52"/>
      <c r="X76" s="52"/>
      <c r="Y76" s="52"/>
      <c r="Z76" s="52"/>
      <c r="AA76" s="52"/>
      <c r="AB76" s="222"/>
      <c r="AC76" s="52"/>
      <c r="AD76" s="52"/>
      <c r="AE76" s="52"/>
      <c r="AF76" s="214"/>
    </row>
    <row r="77" spans="1:32" ht="17" hidden="1" thickBot="1" x14ac:dyDescent="0.25">
      <c r="A77" s="423"/>
      <c r="B77" s="81"/>
      <c r="C77" s="80"/>
      <c r="D77" s="82"/>
      <c r="E77" s="85"/>
      <c r="F77" s="58"/>
      <c r="G77" s="114"/>
      <c r="H77" s="52"/>
      <c r="I77" s="74"/>
      <c r="J77" s="74"/>
      <c r="K77" s="74"/>
      <c r="L77" s="74"/>
      <c r="M77" s="123"/>
      <c r="N77" s="123"/>
      <c r="O77" s="103"/>
      <c r="P77" s="55"/>
      <c r="Q77" s="55"/>
      <c r="R77" s="55"/>
      <c r="S77" s="55"/>
      <c r="T77" s="55"/>
      <c r="U77" s="239"/>
      <c r="V77" s="52"/>
      <c r="W77" s="52"/>
      <c r="X77" s="52"/>
      <c r="Y77" s="52"/>
      <c r="Z77" s="52"/>
      <c r="AA77" s="52"/>
      <c r="AB77" s="222"/>
      <c r="AC77" s="52"/>
      <c r="AD77" s="52"/>
      <c r="AE77" s="52"/>
      <c r="AF77" s="214"/>
    </row>
    <row r="78" spans="1:32" ht="17" hidden="1" thickBot="1" x14ac:dyDescent="0.25">
      <c r="A78" s="423"/>
      <c r="B78" s="84"/>
      <c r="C78" s="80"/>
      <c r="D78" s="80"/>
      <c r="E78" s="85"/>
      <c r="F78" s="54"/>
      <c r="G78" s="112"/>
      <c r="H78" s="52"/>
      <c r="I78" s="74"/>
      <c r="J78" s="74"/>
      <c r="K78" s="74"/>
      <c r="L78" s="74"/>
      <c r="M78" s="123"/>
      <c r="N78" s="123"/>
      <c r="O78" s="102"/>
      <c r="P78" s="55"/>
      <c r="Q78" s="55"/>
      <c r="R78" s="55"/>
      <c r="S78" s="55"/>
      <c r="T78" s="55"/>
      <c r="U78" s="239"/>
      <c r="V78" s="52"/>
      <c r="W78" s="52"/>
      <c r="X78" s="52"/>
      <c r="Y78" s="52"/>
      <c r="Z78" s="52"/>
      <c r="AA78" s="52"/>
      <c r="AB78" s="222"/>
      <c r="AC78" s="52"/>
      <c r="AD78" s="52"/>
      <c r="AE78" s="52"/>
      <c r="AF78" s="214"/>
    </row>
    <row r="79" spans="1:32" ht="16" x14ac:dyDescent="0.2">
      <c r="A79" s="424" t="s">
        <v>249</v>
      </c>
      <c r="B79" s="365"/>
      <c r="C79" s="80"/>
      <c r="D79" s="80"/>
      <c r="E79" s="85"/>
      <c r="F79" s="54"/>
      <c r="G79" s="112"/>
      <c r="H79" s="52"/>
      <c r="I79" s="74"/>
      <c r="J79" s="74"/>
      <c r="K79" s="74"/>
      <c r="L79" s="74"/>
      <c r="M79" s="123"/>
      <c r="N79" s="123"/>
      <c r="O79" s="364"/>
      <c r="P79" s="55"/>
      <c r="Q79" s="55"/>
      <c r="R79" s="55"/>
      <c r="S79" s="55"/>
      <c r="T79" s="55"/>
      <c r="U79" s="239"/>
      <c r="V79" s="52"/>
      <c r="W79" s="52"/>
      <c r="X79" s="52"/>
      <c r="Y79" s="52"/>
      <c r="Z79" s="52"/>
      <c r="AA79" s="52"/>
      <c r="AB79" s="222"/>
      <c r="AC79" s="52"/>
      <c r="AD79" s="52"/>
      <c r="AE79" s="52"/>
      <c r="AF79" s="214"/>
    </row>
    <row r="80" spans="1:32" ht="16" x14ac:dyDescent="0.2">
      <c r="A80" s="423"/>
      <c r="B80" s="84"/>
      <c r="C80" s="80"/>
      <c r="D80" s="80"/>
      <c r="E80" s="85"/>
      <c r="F80" s="54"/>
      <c r="G80" s="112"/>
      <c r="H80" s="52"/>
      <c r="I80" s="392"/>
      <c r="J80" s="74"/>
      <c r="K80" s="74"/>
      <c r="L80" s="392"/>
      <c r="M80" s="123"/>
      <c r="N80" s="123"/>
      <c r="O80" s="364"/>
      <c r="P80" s="55"/>
      <c r="Q80" s="55"/>
      <c r="R80" s="55"/>
      <c r="S80" s="55"/>
      <c r="T80" s="55"/>
      <c r="U80" s="239"/>
      <c r="V80" s="52"/>
      <c r="W80" s="52"/>
      <c r="X80" s="52"/>
      <c r="Y80" s="52"/>
      <c r="Z80" s="52"/>
      <c r="AA80" s="52"/>
      <c r="AB80" s="222"/>
      <c r="AC80" s="52"/>
      <c r="AD80" s="52"/>
      <c r="AE80" s="52"/>
      <c r="AF80" s="214"/>
    </row>
    <row r="81" spans="1:41" ht="16" x14ac:dyDescent="0.2">
      <c r="A81" s="425" t="s">
        <v>12</v>
      </c>
      <c r="B81" s="87"/>
      <c r="C81" s="86"/>
      <c r="D81" s="86" t="s">
        <v>1</v>
      </c>
      <c r="E81" s="88" t="s">
        <v>46</v>
      </c>
      <c r="F81" s="400"/>
      <c r="G81" s="115"/>
      <c r="H81" s="52"/>
      <c r="I81" s="392"/>
      <c r="J81" s="74"/>
      <c r="K81" s="74"/>
      <c r="L81" s="74"/>
      <c r="M81" s="123"/>
      <c r="N81" s="123"/>
      <c r="O81" s="130"/>
      <c r="P81" s="55"/>
      <c r="Q81" s="55"/>
      <c r="R81" s="55"/>
      <c r="S81" s="55"/>
      <c r="T81" s="55"/>
      <c r="U81" s="239"/>
      <c r="V81" s="52"/>
      <c r="W81" s="52"/>
      <c r="X81" s="52"/>
      <c r="Y81" s="52"/>
      <c r="Z81" s="52"/>
      <c r="AA81" s="52"/>
      <c r="AB81" s="222"/>
      <c r="AC81" s="52"/>
      <c r="AD81" s="52"/>
      <c r="AE81" s="52"/>
      <c r="AF81" s="214"/>
    </row>
    <row r="82" spans="1:41" s="8" customFormat="1" ht="16" x14ac:dyDescent="0.2">
      <c r="A82" s="426">
        <v>43949</v>
      </c>
      <c r="B82" s="87" t="s">
        <v>124</v>
      </c>
      <c r="C82" s="89" t="s">
        <v>9</v>
      </c>
      <c r="D82" s="89" t="s">
        <v>127</v>
      </c>
      <c r="E82" s="90">
        <v>16232.91</v>
      </c>
      <c r="F82" s="400"/>
      <c r="G82" s="115"/>
      <c r="H82" s="34"/>
      <c r="I82" s="80"/>
      <c r="J82" s="80"/>
      <c r="K82" s="80"/>
      <c r="L82" s="80"/>
      <c r="M82" s="118"/>
      <c r="N82" s="118"/>
      <c r="O82" s="119"/>
      <c r="P82" s="80"/>
      <c r="Q82" s="34"/>
      <c r="R82" s="34"/>
      <c r="S82" s="34"/>
      <c r="T82" s="34"/>
      <c r="U82" s="239"/>
      <c r="V82" s="34"/>
      <c r="W82" s="34"/>
      <c r="X82" s="34"/>
      <c r="Y82" s="34"/>
      <c r="Z82" s="34"/>
      <c r="AA82" s="34"/>
      <c r="AB82" s="222"/>
      <c r="AC82" s="34"/>
      <c r="AD82" s="34"/>
      <c r="AE82" s="34"/>
      <c r="AF82" s="214"/>
    </row>
    <row r="83" spans="1:41" s="8" customFormat="1" ht="46" x14ac:dyDescent="0.2">
      <c r="A83" s="426">
        <v>43950</v>
      </c>
      <c r="B83" s="87" t="s">
        <v>125</v>
      </c>
      <c r="C83" s="89" t="s">
        <v>9</v>
      </c>
      <c r="D83" s="89" t="s">
        <v>181</v>
      </c>
      <c r="E83" s="90">
        <v>4577.3500000000004</v>
      </c>
      <c r="F83" s="400"/>
      <c r="G83" s="162"/>
      <c r="H83" s="163" t="s">
        <v>189</v>
      </c>
      <c r="I83" s="165" t="s">
        <v>216</v>
      </c>
      <c r="J83" s="165" t="s">
        <v>138</v>
      </c>
      <c r="K83" s="252" t="s">
        <v>190</v>
      </c>
      <c r="L83" s="137"/>
      <c r="M83" s="80"/>
      <c r="N83" s="80"/>
      <c r="O83" s="805" t="s">
        <v>321</v>
      </c>
      <c r="P83" s="805"/>
      <c r="Q83" s="32"/>
      <c r="R83" s="80"/>
      <c r="S83" s="457"/>
      <c r="T83" s="174"/>
      <c r="U83" s="239"/>
      <c r="V83" s="34"/>
      <c r="W83" s="34"/>
      <c r="X83" s="34"/>
      <c r="Y83" s="34"/>
      <c r="Z83" s="34"/>
      <c r="AA83" s="34"/>
      <c r="AB83" s="222"/>
      <c r="AC83" s="34"/>
      <c r="AD83" s="34"/>
      <c r="AE83" s="34"/>
      <c r="AF83" s="214"/>
    </row>
    <row r="84" spans="1:41" s="8" customFormat="1" ht="16" customHeight="1" x14ac:dyDescent="0.2">
      <c r="A84" s="426">
        <v>43979</v>
      </c>
      <c r="B84" s="200">
        <v>30441102</v>
      </c>
      <c r="C84" s="109" t="s">
        <v>126</v>
      </c>
      <c r="D84" s="89" t="s">
        <v>130</v>
      </c>
      <c r="E84" s="90">
        <v>1000</v>
      </c>
      <c r="F84" s="400"/>
      <c r="G84" s="799" t="s">
        <v>101</v>
      </c>
      <c r="H84" s="799"/>
      <c r="I84" s="799"/>
      <c r="J84" s="799"/>
      <c r="K84" s="253"/>
      <c r="L84" s="137"/>
      <c r="M84" s="438"/>
      <c r="N84" s="137"/>
      <c r="O84" s="804" t="s">
        <v>207</v>
      </c>
      <c r="P84" s="804"/>
      <c r="Q84" s="282"/>
      <c r="R84" s="173"/>
      <c r="S84" s="137"/>
      <c r="T84" s="174"/>
      <c r="U84" s="239"/>
      <c r="V84" s="34"/>
      <c r="W84" s="34"/>
      <c r="X84" s="34"/>
      <c r="Y84" s="34"/>
      <c r="Z84" s="34"/>
      <c r="AA84" s="34"/>
      <c r="AB84" s="223"/>
      <c r="AC84" s="34"/>
      <c r="AD84" s="34"/>
      <c r="AE84" s="34"/>
      <c r="AF84" s="214"/>
    </row>
    <row r="85" spans="1:41" s="8" customFormat="1" ht="30" customHeight="1" x14ac:dyDescent="0.2">
      <c r="A85" s="426">
        <v>44007</v>
      </c>
      <c r="B85" s="87" t="s">
        <v>128</v>
      </c>
      <c r="C85" s="89" t="s">
        <v>11</v>
      </c>
      <c r="D85" s="89" t="s">
        <v>129</v>
      </c>
      <c r="E85" s="90">
        <v>1646.66</v>
      </c>
      <c r="F85" s="400"/>
      <c r="G85" s="153" t="s">
        <v>183</v>
      </c>
      <c r="H85" s="131">
        <v>3700</v>
      </c>
      <c r="I85" s="51">
        <f>L55</f>
        <v>7213.83</v>
      </c>
      <c r="J85" s="134">
        <f>H85-I85</f>
        <v>-3513.83</v>
      </c>
      <c r="K85" s="254">
        <f>325*2+I85</f>
        <v>7863.83</v>
      </c>
      <c r="L85" s="137"/>
      <c r="M85" s="137"/>
      <c r="N85" s="137"/>
      <c r="O85" s="806" t="s">
        <v>204</v>
      </c>
      <c r="P85" s="806"/>
      <c r="Q85" s="284">
        <v>57737.279999999999</v>
      </c>
      <c r="R85" s="173"/>
      <c r="S85" s="137"/>
      <c r="T85" s="174"/>
      <c r="U85" s="240"/>
      <c r="V85" s="34"/>
      <c r="W85" s="34"/>
      <c r="X85" s="34"/>
      <c r="Y85" s="34"/>
      <c r="Z85" s="34"/>
      <c r="AA85" s="34"/>
      <c r="AB85" s="223"/>
      <c r="AC85" s="34"/>
      <c r="AD85" s="34"/>
      <c r="AE85" s="34"/>
      <c r="AF85" s="214"/>
    </row>
    <row r="86" spans="1:41" s="8" customFormat="1" ht="17" customHeight="1" thickBot="1" x14ac:dyDescent="0.25">
      <c r="A86" s="426">
        <v>44104</v>
      </c>
      <c r="B86" s="87">
        <v>17692</v>
      </c>
      <c r="C86" s="89" t="s">
        <v>9</v>
      </c>
      <c r="D86" s="89" t="s">
        <v>181</v>
      </c>
      <c r="E86" s="90">
        <v>4577.3500000000004</v>
      </c>
      <c r="F86" s="401">
        <f>E83+E86</f>
        <v>9154.7000000000007</v>
      </c>
      <c r="G86" s="153" t="s">
        <v>182</v>
      </c>
      <c r="H86" s="132">
        <v>250</v>
      </c>
      <c r="I86" s="51">
        <f>M55</f>
        <v>62.5</v>
      </c>
      <c r="J86" s="134">
        <f t="shared" ref="J86:J108" si="3">H86-I86</f>
        <v>187.5</v>
      </c>
      <c r="K86" s="255">
        <f>7.5*3</f>
        <v>22.5</v>
      </c>
      <c r="L86" s="137"/>
      <c r="M86" s="137"/>
      <c r="N86" s="137"/>
      <c r="O86" s="803"/>
      <c r="P86" s="803"/>
      <c r="Q86" s="274"/>
      <c r="R86" s="171"/>
      <c r="S86" s="137"/>
      <c r="T86" s="174"/>
      <c r="U86" s="240"/>
      <c r="V86" s="34"/>
      <c r="W86" s="34"/>
      <c r="X86" s="34"/>
      <c r="Y86" s="34"/>
      <c r="Z86" s="118"/>
      <c r="AA86" s="118"/>
      <c r="AB86" s="223"/>
      <c r="AC86" s="118"/>
      <c r="AD86" s="34"/>
      <c r="AE86" s="34"/>
      <c r="AF86" s="214"/>
      <c r="AO86" s="22">
        <v>50</v>
      </c>
    </row>
    <row r="87" spans="1:41" s="8" customFormat="1" ht="17" customHeight="1" thickBot="1" x14ac:dyDescent="0.25">
      <c r="A87" s="426">
        <v>44119</v>
      </c>
      <c r="B87" s="87">
        <v>167</v>
      </c>
      <c r="C87" s="89" t="s">
        <v>176</v>
      </c>
      <c r="D87" s="89" t="s">
        <v>178</v>
      </c>
      <c r="E87" s="90">
        <v>120</v>
      </c>
      <c r="F87" s="400"/>
      <c r="G87" s="153" t="s">
        <v>102</v>
      </c>
      <c r="H87" s="132">
        <v>380</v>
      </c>
      <c r="I87" s="51">
        <f>N55</f>
        <v>349.44</v>
      </c>
      <c r="J87" s="134">
        <f t="shared" si="3"/>
        <v>30.560000000000002</v>
      </c>
      <c r="K87" s="254">
        <f>I87</f>
        <v>349.44</v>
      </c>
      <c r="L87" s="137"/>
      <c r="M87" s="137"/>
      <c r="N87" s="137"/>
      <c r="O87" s="806" t="s">
        <v>205</v>
      </c>
      <c r="P87" s="806"/>
      <c r="Q87" s="275"/>
      <c r="R87" s="80"/>
      <c r="S87" s="137"/>
      <c r="T87" s="174"/>
      <c r="U87" s="240"/>
      <c r="V87" s="34"/>
      <c r="W87" s="34"/>
      <c r="X87" s="34"/>
      <c r="Y87" s="34"/>
      <c r="Z87" s="118"/>
      <c r="AA87" s="119"/>
      <c r="AB87" s="224"/>
      <c r="AC87" s="118"/>
      <c r="AD87" s="34"/>
      <c r="AE87" s="34"/>
      <c r="AF87" s="214"/>
      <c r="AO87" s="22">
        <v>60</v>
      </c>
    </row>
    <row r="88" spans="1:41" s="8" customFormat="1" ht="31" customHeight="1" thickBot="1" x14ac:dyDescent="0.25">
      <c r="A88" s="426">
        <v>44119</v>
      </c>
      <c r="B88" s="87">
        <v>168</v>
      </c>
      <c r="C88" s="89" t="s">
        <v>176</v>
      </c>
      <c r="D88" s="89" t="s">
        <v>177</v>
      </c>
      <c r="E88" s="90">
        <v>150</v>
      </c>
      <c r="F88" s="400"/>
      <c r="G88" s="153" t="s">
        <v>103</v>
      </c>
      <c r="H88" s="132">
        <v>375</v>
      </c>
      <c r="I88" s="51">
        <f>O55</f>
        <v>390</v>
      </c>
      <c r="J88" s="134">
        <f t="shared" si="3"/>
        <v>-15</v>
      </c>
      <c r="K88" s="254">
        <f>I88</f>
        <v>390</v>
      </c>
      <c r="L88" s="137"/>
      <c r="M88" s="137"/>
      <c r="N88" s="137"/>
      <c r="O88" s="806" t="s">
        <v>206</v>
      </c>
      <c r="P88" s="806"/>
      <c r="Q88" s="276">
        <v>11997.28</v>
      </c>
      <c r="R88" s="80"/>
      <c r="S88" s="137"/>
      <c r="T88" s="174"/>
      <c r="U88" s="240"/>
      <c r="V88" s="34"/>
      <c r="W88" s="34"/>
      <c r="X88" s="34"/>
      <c r="Y88" s="34"/>
      <c r="Z88" s="118"/>
      <c r="AA88" s="119"/>
      <c r="AB88" s="224"/>
      <c r="AC88" s="118"/>
      <c r="AD88" s="34"/>
      <c r="AE88" s="34"/>
      <c r="AF88" s="214"/>
      <c r="AO88" s="268">
        <v>276</v>
      </c>
    </row>
    <row r="89" spans="1:41" s="8" customFormat="1" ht="17" customHeight="1" thickBot="1" x14ac:dyDescent="0.25">
      <c r="A89" s="426">
        <v>44120</v>
      </c>
      <c r="B89" s="201">
        <v>18199</v>
      </c>
      <c r="C89" s="89" t="s">
        <v>179</v>
      </c>
      <c r="D89" s="89" t="s">
        <v>180</v>
      </c>
      <c r="E89" s="90">
        <v>550.15</v>
      </c>
      <c r="F89" s="400"/>
      <c r="G89" s="153" t="s">
        <v>104</v>
      </c>
      <c r="H89" s="132">
        <v>60</v>
      </c>
      <c r="I89" s="51">
        <f>P55</f>
        <v>0</v>
      </c>
      <c r="J89" s="134">
        <f t="shared" si="3"/>
        <v>60</v>
      </c>
      <c r="K89" s="255">
        <v>0</v>
      </c>
      <c r="L89" s="137"/>
      <c r="M89" s="137"/>
      <c r="N89" s="137"/>
      <c r="O89" s="803"/>
      <c r="P89" s="803"/>
      <c r="Q89" s="278"/>
      <c r="R89" s="80"/>
      <c r="S89" s="137"/>
      <c r="T89" s="174"/>
      <c r="U89" s="240"/>
      <c r="V89" s="34"/>
      <c r="W89" s="34"/>
      <c r="X89" s="34"/>
      <c r="Y89" s="245"/>
      <c r="Z89" s="246"/>
      <c r="AA89" s="199"/>
      <c r="AB89" s="224"/>
      <c r="AC89" s="118"/>
      <c r="AD89" s="34"/>
      <c r="AE89" s="34"/>
      <c r="AF89" s="214"/>
      <c r="AO89" s="268">
        <v>353.72</v>
      </c>
    </row>
    <row r="90" spans="1:41" s="8" customFormat="1" ht="31" customHeight="1" thickBot="1" x14ac:dyDescent="0.25">
      <c r="A90" s="426">
        <v>44258</v>
      </c>
      <c r="B90" s="315"/>
      <c r="C90" s="89" t="s">
        <v>224</v>
      </c>
      <c r="D90" s="89" t="s">
        <v>225</v>
      </c>
      <c r="E90" s="90">
        <v>255</v>
      </c>
      <c r="F90" s="400"/>
      <c r="G90" s="154" t="s">
        <v>105</v>
      </c>
      <c r="H90" s="132">
        <v>60</v>
      </c>
      <c r="I90" s="51">
        <f>Q55</f>
        <v>60</v>
      </c>
      <c r="J90" s="134">
        <f t="shared" si="3"/>
        <v>0</v>
      </c>
      <c r="K90" s="254">
        <f t="shared" ref="K90:K96" si="4">I90</f>
        <v>60</v>
      </c>
      <c r="L90" s="137"/>
      <c r="M90" s="137"/>
      <c r="N90" s="137"/>
      <c r="O90" s="796" t="s">
        <v>199</v>
      </c>
      <c r="P90" s="796"/>
      <c r="Q90" s="283">
        <f>Q85+Q88</f>
        <v>69734.559999999998</v>
      </c>
      <c r="R90" s="80"/>
      <c r="S90" s="137"/>
      <c r="T90" s="174"/>
      <c r="U90" s="240"/>
      <c r="V90" s="34"/>
      <c r="W90" s="34"/>
      <c r="X90" s="34"/>
      <c r="Y90" s="174"/>
      <c r="Z90" s="246"/>
      <c r="AA90" s="174"/>
      <c r="AB90" s="243"/>
      <c r="AC90" s="118"/>
      <c r="AD90" s="34"/>
      <c r="AE90" s="34"/>
      <c r="AF90" s="214"/>
      <c r="AO90" s="268">
        <v>36.479999999999997</v>
      </c>
    </row>
    <row r="91" spans="1:41" s="8" customFormat="1" ht="31" customHeight="1" thickBot="1" x14ac:dyDescent="0.25">
      <c r="A91" s="426"/>
      <c r="B91" s="315"/>
      <c r="C91" s="89"/>
      <c r="D91" s="89"/>
      <c r="E91" s="90"/>
      <c r="F91" s="400"/>
      <c r="G91" s="154" t="s">
        <v>106</v>
      </c>
      <c r="H91" s="132">
        <v>70</v>
      </c>
      <c r="I91" s="117">
        <f>R55</f>
        <v>110</v>
      </c>
      <c r="J91" s="134">
        <f t="shared" si="3"/>
        <v>-40</v>
      </c>
      <c r="K91" s="254">
        <f t="shared" si="4"/>
        <v>110</v>
      </c>
      <c r="L91" s="137"/>
      <c r="M91" s="137"/>
      <c r="N91" s="137"/>
      <c r="O91" s="806" t="s">
        <v>322</v>
      </c>
      <c r="P91" s="806"/>
      <c r="Q91" s="278">
        <f>'Financial Statement 31 3 21'!$D$26</f>
        <v>4467.3600000000006</v>
      </c>
      <c r="R91" s="137"/>
      <c r="S91" s="137"/>
      <c r="T91" s="174"/>
      <c r="U91" s="240"/>
      <c r="V91" s="34"/>
      <c r="W91" s="34"/>
      <c r="X91" s="34"/>
      <c r="Y91" s="174"/>
      <c r="Z91" s="246"/>
      <c r="AA91" s="174"/>
      <c r="AB91" s="243"/>
      <c r="AC91" s="118"/>
      <c r="AD91" s="34"/>
      <c r="AE91" s="34"/>
      <c r="AF91" s="214"/>
      <c r="AO91" s="268">
        <v>312</v>
      </c>
    </row>
    <row r="92" spans="1:41" s="8" customFormat="1" ht="31" customHeight="1" thickBot="1" x14ac:dyDescent="0.25">
      <c r="A92" s="425" t="s">
        <v>55</v>
      </c>
      <c r="B92" s="87"/>
      <c r="C92" s="91"/>
      <c r="D92" s="91"/>
      <c r="E92" s="465">
        <f>SUM(E82:E90)</f>
        <v>29109.420000000006</v>
      </c>
      <c r="F92" s="402"/>
      <c r="G92" s="154" t="s">
        <v>135</v>
      </c>
      <c r="H92" s="132">
        <v>200</v>
      </c>
      <c r="I92" s="117">
        <f>S55</f>
        <v>115.1</v>
      </c>
      <c r="J92" s="134">
        <f t="shared" si="3"/>
        <v>84.9</v>
      </c>
      <c r="K92" s="254">
        <f t="shared" si="4"/>
        <v>115.1</v>
      </c>
      <c r="L92" s="137"/>
      <c r="M92" s="137"/>
      <c r="N92" s="137"/>
      <c r="O92" s="806" t="s">
        <v>200</v>
      </c>
      <c r="P92" s="806"/>
      <c r="Q92" s="279">
        <f>Q90-Q91</f>
        <v>65267.199999999997</v>
      </c>
      <c r="R92" s="137"/>
      <c r="S92" s="137"/>
      <c r="T92" s="174"/>
      <c r="U92" s="240"/>
      <c r="V92" s="34"/>
      <c r="W92" s="34"/>
      <c r="X92" s="34"/>
      <c r="Y92" s="174"/>
      <c r="Z92" s="246"/>
      <c r="AA92" s="174"/>
      <c r="AB92" s="243"/>
      <c r="AC92" s="118"/>
      <c r="AD92" s="34"/>
      <c r="AE92" s="34"/>
      <c r="AF92" s="214"/>
      <c r="AN92" s="18"/>
      <c r="AO92" s="268">
        <v>15.46</v>
      </c>
    </row>
    <row r="93" spans="1:41" ht="17" customHeight="1" thickBot="1" x14ac:dyDescent="0.25">
      <c r="A93" s="427" t="s">
        <v>49</v>
      </c>
      <c r="B93" s="92"/>
      <c r="C93" s="94"/>
      <c r="D93" s="94"/>
      <c r="E93" s="95"/>
      <c r="F93" s="356"/>
      <c r="G93" s="154" t="s">
        <v>136</v>
      </c>
      <c r="H93" s="132">
        <v>180</v>
      </c>
      <c r="I93" s="59">
        <f>T57</f>
        <v>179.15</v>
      </c>
      <c r="J93" s="134">
        <f t="shared" si="3"/>
        <v>0.84999999999999432</v>
      </c>
      <c r="K93" s="254">
        <f t="shared" si="4"/>
        <v>179.15</v>
      </c>
      <c r="L93" s="137"/>
      <c r="M93" s="143"/>
      <c r="N93" s="143"/>
      <c r="O93" s="803"/>
      <c r="P93" s="803"/>
      <c r="Q93" s="278"/>
      <c r="R93" s="137"/>
      <c r="S93" s="145"/>
      <c r="T93" s="137"/>
      <c r="U93" s="240"/>
      <c r="V93" s="52"/>
      <c r="W93" s="52"/>
      <c r="X93" s="52"/>
      <c r="Y93" s="174"/>
      <c r="Z93" s="246"/>
      <c r="AA93" s="174"/>
      <c r="AB93" s="243"/>
      <c r="AC93" s="118"/>
      <c r="AD93" s="52"/>
      <c r="AE93" s="52"/>
      <c r="AF93" s="214"/>
      <c r="AO93" s="268">
        <v>90.98</v>
      </c>
    </row>
    <row r="94" spans="1:41" ht="31" customHeight="1" thickBot="1" x14ac:dyDescent="0.25">
      <c r="A94" s="427"/>
      <c r="B94" s="92"/>
      <c r="C94" s="94"/>
      <c r="D94" s="94"/>
      <c r="E94" s="95"/>
      <c r="G94" s="154" t="s">
        <v>167</v>
      </c>
      <c r="H94" s="132">
        <v>150</v>
      </c>
      <c r="I94" s="59">
        <f>U55</f>
        <v>150</v>
      </c>
      <c r="J94" s="134">
        <f>H94-I94</f>
        <v>0</v>
      </c>
      <c r="K94" s="254">
        <f t="shared" si="4"/>
        <v>150</v>
      </c>
      <c r="L94" s="137"/>
      <c r="M94" s="137"/>
      <c r="N94" s="138"/>
      <c r="O94" s="806" t="s">
        <v>201</v>
      </c>
      <c r="P94" s="806"/>
      <c r="Q94" s="280">
        <f>J115</f>
        <v>8319.83</v>
      </c>
      <c r="R94" s="137"/>
      <c r="S94" s="145"/>
      <c r="T94" s="137"/>
      <c r="U94" s="240"/>
      <c r="V94" s="52"/>
      <c r="W94" s="52"/>
      <c r="X94" s="52"/>
      <c r="Y94" s="174"/>
      <c r="Z94" s="246"/>
      <c r="AA94" s="174"/>
      <c r="AB94" s="243"/>
      <c r="AC94" s="118"/>
      <c r="AD94" s="52"/>
      <c r="AE94" s="52"/>
      <c r="AF94" s="214"/>
      <c r="AO94" s="268">
        <v>175.61</v>
      </c>
    </row>
    <row r="95" spans="1:41" ht="31" customHeight="1" thickBot="1" x14ac:dyDescent="0.25">
      <c r="A95" s="428" t="s">
        <v>54</v>
      </c>
      <c r="B95" s="202">
        <v>43990</v>
      </c>
      <c r="C95" s="94"/>
      <c r="D95" s="94"/>
      <c r="E95" s="95">
        <v>3.22</v>
      </c>
      <c r="F95" s="58"/>
      <c r="G95" s="4" t="s">
        <v>166</v>
      </c>
      <c r="H95" s="169">
        <v>3510</v>
      </c>
      <c r="I95" s="59">
        <f>Z56</f>
        <v>2863.2000000000003</v>
      </c>
      <c r="J95" s="134">
        <f>H95-I95</f>
        <v>646.79999999999973</v>
      </c>
      <c r="K95" s="254">
        <f>I95+150</f>
        <v>3013.2000000000003</v>
      </c>
      <c r="L95" s="137"/>
      <c r="M95" s="137"/>
      <c r="N95" s="138"/>
      <c r="O95" s="806" t="s">
        <v>202</v>
      </c>
      <c r="P95" s="806"/>
      <c r="Q95" s="280">
        <f>D118</f>
        <v>55028.73</v>
      </c>
      <c r="R95" s="137"/>
      <c r="S95" s="144"/>
      <c r="T95" s="80"/>
      <c r="U95" s="240"/>
      <c r="V95" s="52"/>
      <c r="W95" s="52"/>
      <c r="X95" s="52"/>
      <c r="Y95" s="174"/>
      <c r="Z95" s="246"/>
      <c r="AA95" s="174"/>
      <c r="AB95" s="243"/>
      <c r="AC95" s="118"/>
      <c r="AD95" s="52"/>
      <c r="AE95" s="52"/>
      <c r="AF95" s="214"/>
      <c r="AO95" s="268">
        <v>56.25</v>
      </c>
    </row>
    <row r="96" spans="1:41" ht="17" customHeight="1" thickBot="1" x14ac:dyDescent="0.25">
      <c r="A96" s="428" t="s">
        <v>51</v>
      </c>
      <c r="B96" s="202">
        <v>44081</v>
      </c>
      <c r="C96" s="94"/>
      <c r="D96" s="94"/>
      <c r="E96" s="95">
        <v>1.66</v>
      </c>
      <c r="F96" s="54"/>
      <c r="G96" s="153" t="s">
        <v>107</v>
      </c>
      <c r="H96" s="132">
        <v>100</v>
      </c>
      <c r="I96" s="168">
        <f>Y55</f>
        <v>82.2</v>
      </c>
      <c r="J96" s="134">
        <f t="shared" si="3"/>
        <v>17.799999999999997</v>
      </c>
      <c r="K96" s="254">
        <f t="shared" si="4"/>
        <v>82.2</v>
      </c>
      <c r="L96" s="137"/>
      <c r="M96" s="137"/>
      <c r="N96" s="138"/>
      <c r="O96" s="802" t="s">
        <v>203</v>
      </c>
      <c r="P96" s="802"/>
      <c r="Q96" s="281">
        <f>Q92-Q94-Q95</f>
        <v>1918.6399999999921</v>
      </c>
      <c r="R96" s="137"/>
      <c r="S96" s="144"/>
      <c r="T96" s="80"/>
      <c r="U96" s="240"/>
      <c r="V96" s="52"/>
      <c r="W96" s="52"/>
      <c r="X96" s="52"/>
      <c r="Y96" s="174"/>
      <c r="Z96" s="246"/>
      <c r="AA96" s="174"/>
      <c r="AB96" s="243"/>
      <c r="AC96" s="118"/>
      <c r="AD96" s="52"/>
      <c r="AE96" s="52"/>
      <c r="AF96" s="214"/>
      <c r="AO96" s="268">
        <v>81.599999999999994</v>
      </c>
    </row>
    <row r="97" spans="1:41" ht="16" x14ac:dyDescent="0.2">
      <c r="A97" s="428" t="s">
        <v>52</v>
      </c>
      <c r="B97" s="202">
        <v>44172</v>
      </c>
      <c r="C97" s="94"/>
      <c r="D97" s="94"/>
      <c r="E97" s="95">
        <v>0.3</v>
      </c>
      <c r="F97" s="54"/>
      <c r="G97" s="799" t="s">
        <v>108</v>
      </c>
      <c r="H97" s="799"/>
      <c r="I97" s="799"/>
      <c r="J97" s="799"/>
      <c r="K97" s="253"/>
      <c r="L97" s="137"/>
      <c r="M97" s="137"/>
      <c r="N97" s="138"/>
      <c r="O97" s="142"/>
      <c r="P97" s="138"/>
      <c r="Q97" s="80"/>
      <c r="R97" s="80"/>
      <c r="S97" s="146"/>
      <c r="T97" s="80"/>
      <c r="U97" s="240"/>
      <c r="V97" s="52"/>
      <c r="W97" s="52"/>
      <c r="X97" s="52"/>
      <c r="Y97" s="174"/>
      <c r="Z97" s="246"/>
      <c r="AA97" s="174"/>
      <c r="AB97" s="243"/>
      <c r="AC97" s="118"/>
      <c r="AD97" s="52"/>
      <c r="AE97" s="52"/>
      <c r="AF97" s="214"/>
      <c r="AO97">
        <f>SUM(AO86:AO96)</f>
        <v>1508.1</v>
      </c>
    </row>
    <row r="98" spans="1:41" ht="16" x14ac:dyDescent="0.2">
      <c r="A98" s="428" t="s">
        <v>53</v>
      </c>
      <c r="B98" s="202">
        <v>44263</v>
      </c>
      <c r="C98" s="94"/>
      <c r="D98" s="94"/>
      <c r="E98" s="95">
        <v>0.3</v>
      </c>
      <c r="F98" s="54"/>
      <c r="G98" s="155" t="s">
        <v>109</v>
      </c>
      <c r="H98" s="159"/>
      <c r="I98" s="160"/>
      <c r="J98" s="161"/>
      <c r="K98" s="255"/>
      <c r="L98" s="137"/>
      <c r="M98" s="137"/>
      <c r="N98" s="138"/>
      <c r="O98" s="142"/>
      <c r="P98" s="285"/>
      <c r="Q98" s="80"/>
      <c r="R98" s="80"/>
      <c r="S98" s="147"/>
      <c r="T98" s="55"/>
      <c r="U98" s="239"/>
      <c r="V98" s="52"/>
      <c r="W98" s="52"/>
      <c r="X98" s="52"/>
      <c r="Y98" s="174"/>
      <c r="Z98" s="246"/>
      <c r="AA98" s="174"/>
      <c r="AB98" s="243"/>
      <c r="AC98" s="118"/>
      <c r="AD98" s="52"/>
      <c r="AE98" s="52"/>
      <c r="AF98" s="214"/>
    </row>
    <row r="99" spans="1:41" s="12" customFormat="1" ht="16" x14ac:dyDescent="0.2">
      <c r="A99" s="429" t="s">
        <v>50</v>
      </c>
      <c r="B99" s="207"/>
      <c r="C99" s="206"/>
      <c r="D99" s="93"/>
      <c r="E99" s="96">
        <f>SUM(E95:E98)</f>
        <v>5.4799999999999995</v>
      </c>
      <c r="F99" s="403"/>
      <c r="G99" s="156" t="s">
        <v>157</v>
      </c>
      <c r="H99" s="4">
        <v>100</v>
      </c>
      <c r="I99" s="4"/>
      <c r="J99" s="4"/>
      <c r="K99" s="256"/>
      <c r="L99" s="137"/>
      <c r="M99" s="137"/>
      <c r="N99" s="138"/>
      <c r="O99" s="142"/>
      <c r="P99" s="143"/>
      <c r="Q99" s="80"/>
      <c r="R99" s="135"/>
      <c r="S99" s="148"/>
      <c r="T99" s="98"/>
      <c r="U99" s="233"/>
      <c r="V99" s="97"/>
      <c r="W99" s="97"/>
      <c r="X99" s="97"/>
      <c r="Y99" s="247"/>
      <c r="Z99" s="246"/>
      <c r="AA99" s="248"/>
      <c r="AB99" s="243"/>
      <c r="AC99" s="120"/>
      <c r="AD99" s="97"/>
      <c r="AE99" s="97"/>
      <c r="AF99" s="215"/>
      <c r="AN99" s="21"/>
    </row>
    <row r="100" spans="1:41" ht="16" x14ac:dyDescent="0.2">
      <c r="A100" s="430" t="s">
        <v>56</v>
      </c>
      <c r="B100" s="208"/>
      <c r="C100" s="203"/>
      <c r="D100" s="203"/>
      <c r="E100" s="205">
        <f>E92+E99</f>
        <v>29114.900000000005</v>
      </c>
      <c r="F100" s="54"/>
      <c r="G100" s="176" t="s">
        <v>137</v>
      </c>
      <c r="H100" s="177">
        <f>SUM(H81:H99)</f>
        <v>9135</v>
      </c>
      <c r="I100" s="177">
        <f>SUM(I81:I97)</f>
        <v>11575.42</v>
      </c>
      <c r="J100" s="177">
        <f>SUM(J85:J99)</f>
        <v>-2540.42</v>
      </c>
      <c r="K100" s="258">
        <f>SUM(K85:K99)</f>
        <v>12335.420000000002</v>
      </c>
      <c r="L100" s="229">
        <f>I100+I107+I113+I108</f>
        <v>13467.52</v>
      </c>
      <c r="M100" s="137"/>
      <c r="N100" s="138"/>
      <c r="O100" s="142"/>
      <c r="P100" s="140"/>
      <c r="Q100" s="135"/>
      <c r="R100" s="80"/>
      <c r="S100" s="149"/>
      <c r="T100" s="55"/>
      <c r="U100" s="239"/>
      <c r="V100" s="52"/>
      <c r="W100" s="52"/>
      <c r="X100" s="52"/>
      <c r="Y100" s="800"/>
      <c r="Z100" s="800"/>
      <c r="AA100" s="249"/>
      <c r="AB100" s="243"/>
      <c r="AC100" s="118"/>
      <c r="AD100" s="52"/>
      <c r="AE100" s="52"/>
      <c r="AF100" s="214"/>
    </row>
    <row r="101" spans="1:41" ht="16" x14ac:dyDescent="0.2">
      <c r="A101" s="429"/>
      <c r="B101" s="207"/>
      <c r="C101" s="206"/>
      <c r="D101" s="93"/>
      <c r="E101" s="482"/>
      <c r="F101" s="54"/>
      <c r="G101" s="176" t="s">
        <v>191</v>
      </c>
      <c r="H101" s="177">
        <v>9154</v>
      </c>
      <c r="I101" s="177"/>
      <c r="J101" s="177">
        <f>H101-K100</f>
        <v>-3181.4200000000019</v>
      </c>
      <c r="K101" s="257"/>
      <c r="L101" s="229">
        <f>L100-J55</f>
        <v>0</v>
      </c>
      <c r="M101" s="137"/>
      <c r="N101" s="138"/>
      <c r="O101" s="142"/>
      <c r="P101" s="143"/>
      <c r="Q101" s="80"/>
      <c r="R101" s="80"/>
      <c r="S101" s="80"/>
      <c r="T101" s="55"/>
      <c r="U101" s="239"/>
      <c r="V101" s="52"/>
      <c r="W101" s="52"/>
      <c r="X101" s="52"/>
      <c r="Y101" s="250"/>
      <c r="Z101" s="246"/>
      <c r="AA101" s="174"/>
      <c r="AB101" s="243"/>
      <c r="AC101" s="118"/>
      <c r="AD101" s="52"/>
      <c r="AE101" s="52"/>
      <c r="AF101" s="214"/>
    </row>
    <row r="102" spans="1:41" ht="16" x14ac:dyDescent="0.2">
      <c r="A102" s="483" t="s">
        <v>317</v>
      </c>
      <c r="B102" s="484"/>
      <c r="C102" s="485"/>
      <c r="D102" s="485"/>
      <c r="E102" s="486"/>
      <c r="F102" s="54"/>
      <c r="G102" s="269" t="s">
        <v>197</v>
      </c>
      <c r="H102" s="270"/>
      <c r="I102" s="270"/>
      <c r="J102" s="270"/>
      <c r="K102" s="271"/>
      <c r="L102" s="137"/>
      <c r="M102" s="137"/>
      <c r="N102" s="138"/>
      <c r="O102" s="673"/>
      <c r="P102" s="143"/>
      <c r="Q102" s="80"/>
      <c r="R102" s="80"/>
      <c r="S102" s="80"/>
      <c r="T102" s="55"/>
      <c r="U102" s="239"/>
      <c r="V102" s="52"/>
      <c r="W102" s="52"/>
      <c r="X102" s="52"/>
      <c r="Y102" s="247"/>
      <c r="Z102" s="246"/>
      <c r="AA102" s="798"/>
      <c r="AB102" s="224"/>
      <c r="AC102" s="118"/>
      <c r="AD102" s="52"/>
      <c r="AE102" s="52"/>
      <c r="AF102" s="214"/>
    </row>
    <row r="103" spans="1:41" ht="16" x14ac:dyDescent="0.2">
      <c r="A103" s="483"/>
      <c r="B103" s="484"/>
      <c r="C103" s="485"/>
      <c r="D103" s="485"/>
      <c r="E103" s="486"/>
      <c r="F103" s="466"/>
      <c r="G103" s="269"/>
      <c r="H103" s="270"/>
      <c r="I103" s="270"/>
      <c r="J103" s="270"/>
      <c r="K103" s="271"/>
      <c r="L103" s="137"/>
      <c r="M103" s="137"/>
      <c r="N103" s="138"/>
      <c r="O103" s="142"/>
      <c r="P103" s="143"/>
      <c r="Q103" s="80"/>
      <c r="R103" s="80"/>
      <c r="S103" s="80"/>
      <c r="T103" s="55"/>
      <c r="U103" s="239"/>
      <c r="V103" s="52"/>
      <c r="W103" s="52"/>
      <c r="X103" s="52"/>
      <c r="Y103" s="247"/>
      <c r="Z103" s="246"/>
      <c r="AA103" s="798"/>
      <c r="AB103" s="367"/>
      <c r="AC103" s="118"/>
      <c r="AD103" s="52"/>
      <c r="AE103" s="52"/>
      <c r="AF103" s="214"/>
    </row>
    <row r="104" spans="1:41" ht="16" x14ac:dyDescent="0.2">
      <c r="A104" s="458" t="s">
        <v>310</v>
      </c>
      <c r="B104" s="459"/>
      <c r="C104" s="460"/>
      <c r="D104" s="460"/>
      <c r="E104" s="464">
        <f>E83+E86</f>
        <v>9154.7000000000007</v>
      </c>
      <c r="F104" s="54"/>
      <c r="G104" s="259" t="s">
        <v>157</v>
      </c>
      <c r="H104" s="260"/>
      <c r="I104" s="260"/>
      <c r="J104" s="260"/>
      <c r="K104" s="261"/>
      <c r="L104" s="174"/>
      <c r="M104" s="137"/>
      <c r="N104" s="138"/>
      <c r="O104" s="142"/>
      <c r="P104" s="143"/>
      <c r="Q104" s="80"/>
      <c r="R104" s="80"/>
      <c r="S104" s="80"/>
      <c r="T104" s="55"/>
      <c r="U104" s="239"/>
      <c r="V104" s="52"/>
      <c r="W104" s="196"/>
      <c r="X104" s="52"/>
      <c r="Y104" s="251"/>
      <c r="Z104" s="118"/>
      <c r="AA104" s="798"/>
      <c r="AB104" s="797"/>
      <c r="AC104" s="118"/>
      <c r="AD104" s="52"/>
      <c r="AE104" s="52"/>
      <c r="AF104" s="214"/>
    </row>
    <row r="105" spans="1:41" ht="16" x14ac:dyDescent="0.2">
      <c r="A105" s="418" t="s">
        <v>316</v>
      </c>
      <c r="B105" s="461"/>
      <c r="C105" s="255"/>
      <c r="D105" s="255"/>
      <c r="E105" s="462">
        <f>E82+E89</f>
        <v>16783.060000000001</v>
      </c>
      <c r="F105" s="54"/>
      <c r="G105" s="156" t="s">
        <v>159</v>
      </c>
      <c r="H105" s="133">
        <v>2417.4</v>
      </c>
      <c r="I105" s="4"/>
      <c r="J105" s="134"/>
      <c r="K105" s="32"/>
      <c r="L105" s="174"/>
      <c r="M105" s="137"/>
      <c r="N105" s="139"/>
      <c r="O105" s="142"/>
      <c r="P105" s="145"/>
      <c r="Q105" s="80"/>
      <c r="R105" s="150"/>
      <c r="S105" s="80"/>
      <c r="T105" s="55"/>
      <c r="U105" s="239"/>
      <c r="V105" s="52"/>
      <c r="W105" s="52"/>
      <c r="X105" s="52"/>
      <c r="Y105" s="74"/>
      <c r="Z105" s="118"/>
      <c r="AA105" s="199"/>
      <c r="AB105" s="797"/>
      <c r="AC105" s="118"/>
      <c r="AD105" s="52"/>
      <c r="AE105" s="52"/>
      <c r="AF105" s="214"/>
    </row>
    <row r="106" spans="1:41" ht="34" x14ac:dyDescent="0.2">
      <c r="A106" s="418" t="s">
        <v>309</v>
      </c>
      <c r="B106" s="463"/>
      <c r="C106" s="255"/>
      <c r="D106" s="255"/>
      <c r="E106" s="462">
        <f>E84+E85+E87+E88+E90</f>
        <v>3171.66</v>
      </c>
      <c r="F106" s="54"/>
      <c r="G106" s="178" t="s">
        <v>158</v>
      </c>
      <c r="H106" s="179">
        <f>5900+134</f>
        <v>6034</v>
      </c>
      <c r="I106" s="180"/>
      <c r="J106" s="181"/>
      <c r="K106" s="32"/>
      <c r="L106" s="193">
        <f>I107+60</f>
        <v>1568.1</v>
      </c>
      <c r="M106" s="230">
        <f>L100-L106</f>
        <v>11899.42</v>
      </c>
      <c r="N106" s="138"/>
      <c r="O106" s="142"/>
      <c r="P106" s="563"/>
      <c r="Q106" s="80"/>
      <c r="R106" s="150"/>
      <c r="S106" s="80"/>
      <c r="T106" s="55"/>
      <c r="U106" s="239"/>
      <c r="V106" s="52"/>
      <c r="W106" s="60"/>
      <c r="X106" s="52"/>
      <c r="Y106" s="74"/>
      <c r="Z106" s="118"/>
      <c r="AA106" s="798"/>
      <c r="AB106" s="224"/>
      <c r="AC106" s="118"/>
      <c r="AD106" s="52"/>
      <c r="AE106" s="52"/>
      <c r="AF106" s="214"/>
    </row>
    <row r="107" spans="1:41" ht="16" x14ac:dyDescent="0.2">
      <c r="A107" s="481" t="s">
        <v>315</v>
      </c>
      <c r="B107" s="480"/>
      <c r="C107" s="256"/>
      <c r="D107" s="256"/>
      <c r="E107" s="356">
        <f>E99</f>
        <v>5.4799999999999995</v>
      </c>
      <c r="F107" s="54"/>
      <c r="G107" s="191" t="s">
        <v>164</v>
      </c>
      <c r="H107" s="185">
        <f>H105+H106</f>
        <v>8451.4</v>
      </c>
      <c r="I107" s="169">
        <f>AB55</f>
        <v>1508.1</v>
      </c>
      <c r="J107" s="188">
        <f>H107-I107</f>
        <v>6943.2999999999993</v>
      </c>
      <c r="K107" s="134"/>
      <c r="L107" s="193"/>
      <c r="M107" s="137"/>
      <c r="N107" s="138"/>
      <c r="O107" s="142"/>
      <c r="P107" s="137"/>
      <c r="Q107" s="80"/>
      <c r="R107" s="150"/>
      <c r="S107" s="80"/>
      <c r="T107" s="55"/>
      <c r="U107" s="239"/>
      <c r="V107" s="52"/>
      <c r="W107" s="52"/>
      <c r="X107" s="52"/>
      <c r="Y107" s="74"/>
      <c r="Z107" s="118"/>
      <c r="AA107" s="798"/>
      <c r="AB107" s="224"/>
      <c r="AC107" s="118"/>
      <c r="AD107" s="52"/>
      <c r="AE107" s="52"/>
      <c r="AF107" s="214"/>
    </row>
    <row r="108" spans="1:41" ht="16" x14ac:dyDescent="0.2">
      <c r="A108" s="430" t="s">
        <v>318</v>
      </c>
      <c r="B108" s="204"/>
      <c r="C108" s="203"/>
      <c r="D108" s="203"/>
      <c r="E108" s="205">
        <f>SUM(E105:E107)</f>
        <v>19960.2</v>
      </c>
      <c r="F108" s="54"/>
      <c r="G108" s="259" t="s">
        <v>160</v>
      </c>
      <c r="H108" s="262">
        <v>438</v>
      </c>
      <c r="I108" s="267">
        <f>AC55</f>
        <v>264</v>
      </c>
      <c r="J108" s="263">
        <f t="shared" si="3"/>
        <v>174</v>
      </c>
      <c r="K108" s="264"/>
      <c r="L108" s="137"/>
      <c r="M108" s="137"/>
      <c r="N108" s="138"/>
      <c r="O108" s="142"/>
      <c r="P108" s="137"/>
      <c r="Q108" s="80"/>
      <c r="R108" s="150"/>
      <c r="S108" s="80"/>
      <c r="T108" s="55"/>
      <c r="U108" s="239"/>
      <c r="V108" s="52"/>
      <c r="W108" s="52"/>
      <c r="X108" s="52"/>
      <c r="Y108" s="52"/>
      <c r="Z108" s="118"/>
      <c r="AA108" s="119"/>
      <c r="AB108" s="224"/>
      <c r="AC108" s="118"/>
      <c r="AD108" s="52"/>
      <c r="AE108" s="52"/>
      <c r="AF108" s="214"/>
    </row>
    <row r="109" spans="1:41" x14ac:dyDescent="0.25">
      <c r="F109" s="54"/>
      <c r="G109" s="259" t="s">
        <v>161</v>
      </c>
      <c r="H109" s="262">
        <v>434.74</v>
      </c>
      <c r="I109" s="261"/>
      <c r="J109" s="265"/>
      <c r="K109" s="264"/>
      <c r="L109" s="195"/>
      <c r="M109" s="137"/>
      <c r="N109" s="141"/>
      <c r="O109" s="80"/>
      <c r="P109" s="137"/>
      <c r="Q109" s="80"/>
      <c r="R109" s="150"/>
      <c r="S109" s="80"/>
      <c r="T109" s="55"/>
      <c r="U109" s="239"/>
      <c r="V109" s="60"/>
      <c r="W109" s="52"/>
      <c r="X109" s="52"/>
      <c r="Y109" s="52"/>
      <c r="Z109" s="118"/>
      <c r="AA109" s="798"/>
      <c r="AB109" s="224"/>
      <c r="AC109" s="118"/>
      <c r="AD109" s="52"/>
      <c r="AE109" s="52"/>
      <c r="AF109" s="214"/>
    </row>
    <row r="110" spans="1:41" ht="17" thickBot="1" x14ac:dyDescent="0.25">
      <c r="A110" s="341"/>
      <c r="B110" s="53"/>
      <c r="C110" s="52"/>
      <c r="D110" s="52"/>
      <c r="E110" s="54"/>
      <c r="F110" s="404"/>
      <c r="G110" s="182" t="s">
        <v>156</v>
      </c>
      <c r="H110" s="183">
        <v>1000</v>
      </c>
      <c r="I110" s="184"/>
      <c r="J110" s="181"/>
      <c r="K110" s="32"/>
      <c r="L110" s="137"/>
      <c r="M110" s="140"/>
      <c r="N110" s="138"/>
      <c r="O110" s="80"/>
      <c r="P110" s="137"/>
      <c r="Q110" s="80"/>
      <c r="R110" s="80"/>
      <c r="S110" s="80"/>
      <c r="T110" s="55"/>
      <c r="U110" s="239"/>
      <c r="V110" s="52"/>
      <c r="W110" s="52"/>
      <c r="X110" s="52"/>
      <c r="Y110" s="52"/>
      <c r="Z110" s="118"/>
      <c r="AA110" s="798"/>
      <c r="AB110" s="224"/>
      <c r="AC110" s="118"/>
      <c r="AD110" s="52"/>
      <c r="AE110" s="52"/>
      <c r="AF110" s="214"/>
    </row>
    <row r="111" spans="1:41" ht="16" x14ac:dyDescent="0.2">
      <c r="A111" s="341"/>
      <c r="B111" s="53"/>
      <c r="C111" s="287" t="s">
        <v>212</v>
      </c>
      <c r="D111" s="288">
        <f>31510.95</f>
        <v>31510.95</v>
      </c>
      <c r="E111" s="54"/>
      <c r="F111" s="54"/>
      <c r="G111" s="189" t="s">
        <v>164</v>
      </c>
      <c r="H111" s="190">
        <f>H109+H110</f>
        <v>1434.74</v>
      </c>
      <c r="I111" s="7">
        <v>898.65</v>
      </c>
      <c r="J111" s="134">
        <f>H111-I111</f>
        <v>536.09</v>
      </c>
      <c r="K111" s="134"/>
      <c r="L111" s="137"/>
      <c r="M111" s="137"/>
      <c r="N111" s="136"/>
      <c r="O111" s="136"/>
      <c r="P111" s="138"/>
      <c r="Q111" s="80"/>
      <c r="R111" s="80"/>
      <c r="S111" s="80"/>
      <c r="T111" s="55"/>
      <c r="U111" s="239"/>
      <c r="V111" s="52"/>
      <c r="W111" s="52"/>
      <c r="X111" s="52"/>
      <c r="Y111" s="52"/>
      <c r="Z111" s="118"/>
      <c r="AA111" s="118"/>
      <c r="AB111" s="223"/>
      <c r="AC111" s="118"/>
      <c r="AD111" s="52"/>
      <c r="AE111" s="52"/>
      <c r="AF111" s="214"/>
    </row>
    <row r="112" spans="1:41" ht="16" x14ac:dyDescent="0.2">
      <c r="A112" s="341"/>
      <c r="B112" s="53"/>
      <c r="C112" s="289" t="s">
        <v>213</v>
      </c>
      <c r="D112" s="290">
        <f>E82</f>
        <v>16232.91</v>
      </c>
      <c r="E112" s="54"/>
      <c r="G112" s="259" t="s">
        <v>162</v>
      </c>
      <c r="H112" s="266">
        <v>600</v>
      </c>
      <c r="I112" s="267">
        <f>AG55</f>
        <v>0</v>
      </c>
      <c r="J112" s="263">
        <v>600</v>
      </c>
      <c r="K112" s="264"/>
      <c r="L112" s="136"/>
      <c r="M112" s="136"/>
      <c r="N112" s="136"/>
      <c r="O112" s="136"/>
      <c r="P112" s="139"/>
      <c r="Q112" s="80"/>
      <c r="R112" s="136"/>
      <c r="S112" s="136"/>
      <c r="Z112" s="121"/>
      <c r="AA112" s="119"/>
      <c r="AB112" s="224"/>
      <c r="AC112" s="121"/>
    </row>
    <row r="113" spans="1:29" ht="16" x14ac:dyDescent="0.2">
      <c r="A113" s="341"/>
      <c r="B113" s="53"/>
      <c r="C113" s="289" t="s">
        <v>214</v>
      </c>
      <c r="D113" s="290">
        <f>E89</f>
        <v>550.15</v>
      </c>
      <c r="E113" s="54"/>
      <c r="G113" s="259" t="s">
        <v>163</v>
      </c>
      <c r="H113" s="266">
        <v>186.44</v>
      </c>
      <c r="I113" s="267">
        <f>AL55</f>
        <v>120</v>
      </c>
      <c r="J113" s="263">
        <f>H113-I113</f>
        <v>66.44</v>
      </c>
      <c r="K113" s="264"/>
      <c r="L113" s="136"/>
      <c r="M113" s="136"/>
      <c r="N113" s="136"/>
      <c r="O113" s="136"/>
      <c r="P113" s="139"/>
      <c r="Q113" s="136"/>
      <c r="R113" s="136"/>
      <c r="S113" s="136"/>
      <c r="Z113" s="121"/>
      <c r="AA113" s="170"/>
      <c r="AB113" s="224"/>
      <c r="AC113" s="121"/>
    </row>
    <row r="114" spans="1:29" ht="16" x14ac:dyDescent="0.2">
      <c r="A114" s="341"/>
      <c r="B114" s="53"/>
      <c r="C114" s="291" t="s">
        <v>110</v>
      </c>
      <c r="D114" s="292">
        <f>SUM(D111:D113)</f>
        <v>48294.01</v>
      </c>
      <c r="E114" s="54"/>
      <c r="K114" s="264"/>
      <c r="L114" s="136"/>
      <c r="M114" s="136"/>
      <c r="N114" s="192"/>
      <c r="O114" s="192"/>
      <c r="P114" s="139"/>
      <c r="Q114" s="136"/>
      <c r="R114" s="136"/>
      <c r="S114" s="136"/>
      <c r="Z114" s="121"/>
      <c r="AA114" s="170"/>
      <c r="AB114" s="224"/>
      <c r="AC114" s="121"/>
    </row>
    <row r="115" spans="1:29" ht="51" x14ac:dyDescent="0.2">
      <c r="A115" s="341"/>
      <c r="B115" s="53"/>
      <c r="C115" s="293" t="s">
        <v>198</v>
      </c>
      <c r="D115" s="286">
        <v>5407.11</v>
      </c>
      <c r="E115" s="54"/>
      <c r="G115" s="157" t="s">
        <v>165</v>
      </c>
      <c r="H115" s="158"/>
      <c r="I115" s="166"/>
      <c r="J115" s="166">
        <f>SUM(J107:J114)</f>
        <v>8319.83</v>
      </c>
      <c r="K115" s="7"/>
      <c r="L115" s="136"/>
      <c r="M115" s="192"/>
      <c r="N115" s="193"/>
      <c r="O115" s="192"/>
      <c r="P115" s="139"/>
      <c r="Q115" s="136"/>
      <c r="R115" s="136"/>
      <c r="S115" s="136"/>
      <c r="Z115" s="121"/>
      <c r="AA115" s="170"/>
      <c r="AB115" s="224"/>
      <c r="AC115" s="121"/>
    </row>
    <row r="116" spans="1:29" ht="16" x14ac:dyDescent="0.2">
      <c r="A116" s="341"/>
      <c r="B116" s="53"/>
      <c r="C116" s="259" t="s">
        <v>208</v>
      </c>
      <c r="D116" s="296">
        <v>1000</v>
      </c>
      <c r="E116" s="136"/>
      <c r="K116" s="152"/>
      <c r="L116" s="136"/>
      <c r="M116" s="192"/>
      <c r="N116" s="193"/>
      <c r="O116" s="192"/>
      <c r="P116" s="139"/>
      <c r="Q116" s="136"/>
      <c r="R116" s="136"/>
      <c r="S116" s="136"/>
      <c r="Z116" s="121"/>
      <c r="AA116" s="170"/>
      <c r="AB116" s="224"/>
      <c r="AC116" s="121"/>
    </row>
    <row r="117" spans="1:29" ht="17" x14ac:dyDescent="0.2">
      <c r="A117" s="341"/>
      <c r="B117" s="53"/>
      <c r="C117" s="293" t="s">
        <v>209</v>
      </c>
      <c r="D117" s="286">
        <v>327.61</v>
      </c>
      <c r="E117" s="54"/>
      <c r="I117" s="20"/>
      <c r="J117" s="20"/>
      <c r="K117" s="136"/>
      <c r="M117" s="192"/>
      <c r="N117" s="194"/>
      <c r="O117" s="192"/>
      <c r="P117" s="139"/>
      <c r="Q117" s="136"/>
      <c r="R117" s="136"/>
      <c r="S117" s="136"/>
      <c r="Z117" s="121"/>
      <c r="AA117" s="170"/>
      <c r="AB117" s="224"/>
      <c r="AC117" s="121"/>
    </row>
    <row r="118" spans="1:29" ht="18" x14ac:dyDescent="0.2">
      <c r="A118" s="341"/>
      <c r="B118" s="53"/>
      <c r="C118" s="294" t="s">
        <v>211</v>
      </c>
      <c r="D118" s="295">
        <f>SUM(D115:D117)+D114</f>
        <v>55028.73</v>
      </c>
      <c r="E118" s="54"/>
      <c r="K118" s="136"/>
      <c r="L118" s="136"/>
      <c r="M118" s="192"/>
      <c r="N118" s="194"/>
      <c r="O118" s="192"/>
      <c r="P118" s="151"/>
      <c r="Q118" s="136"/>
      <c r="R118" s="136"/>
      <c r="S118" s="136"/>
      <c r="Z118" s="121"/>
      <c r="AA118" s="122"/>
      <c r="AB118" s="225"/>
      <c r="AC118" s="121"/>
    </row>
    <row r="119" spans="1:29" ht="16" x14ac:dyDescent="0.2">
      <c r="C119" s="52"/>
      <c r="D119" s="52"/>
      <c r="E119" s="54"/>
      <c r="K119" s="136"/>
      <c r="L119" s="136"/>
      <c r="M119" s="192"/>
      <c r="N119" s="193"/>
      <c r="O119" s="192"/>
      <c r="P119" s="136"/>
      <c r="Q119" s="152"/>
      <c r="R119" s="136"/>
      <c r="S119" s="136"/>
      <c r="Z119" s="121"/>
      <c r="AA119" s="798"/>
      <c r="AB119" s="224"/>
      <c r="AC119" s="121"/>
    </row>
    <row r="120" spans="1:29" ht="16" x14ac:dyDescent="0.2">
      <c r="C120" s="52"/>
      <c r="D120" s="52"/>
      <c r="E120" s="54"/>
      <c r="K120" s="136"/>
      <c r="L120" s="136"/>
      <c r="M120" s="192"/>
      <c r="N120" s="193"/>
      <c r="O120" s="192"/>
      <c r="P120" s="136"/>
      <c r="Q120" s="136"/>
      <c r="R120" s="136"/>
      <c r="S120" s="136"/>
      <c r="Z120" s="121"/>
      <c r="AA120" s="798"/>
      <c r="AB120" s="224"/>
      <c r="AC120" s="121"/>
    </row>
    <row r="121" spans="1:29" x14ac:dyDescent="0.25">
      <c r="K121" s="136"/>
      <c r="L121" s="136"/>
      <c r="M121" s="192"/>
      <c r="N121" s="193"/>
      <c r="O121" s="192"/>
      <c r="P121" s="136"/>
      <c r="Q121" s="136"/>
      <c r="R121" s="136"/>
      <c r="S121" s="136"/>
      <c r="Z121" s="121"/>
      <c r="AA121" s="798"/>
      <c r="AB121" s="224"/>
      <c r="AC121" s="121"/>
    </row>
    <row r="122" spans="1:29" x14ac:dyDescent="0.25">
      <c r="K122" s="136"/>
      <c r="L122" s="137"/>
      <c r="M122" s="192"/>
      <c r="N122" s="192"/>
      <c r="O122" s="136"/>
      <c r="P122" s="136"/>
      <c r="Q122" s="136"/>
      <c r="R122" s="136"/>
      <c r="S122" s="136"/>
      <c r="Z122" s="121"/>
      <c r="AA122" s="798"/>
      <c r="AB122" s="224"/>
      <c r="AC122" s="121"/>
    </row>
    <row r="123" spans="1:29" x14ac:dyDescent="0.25">
      <c r="K123" s="136"/>
      <c r="L123" s="137"/>
      <c r="M123" s="192"/>
      <c r="N123" s="192"/>
      <c r="O123" s="192"/>
      <c r="P123" s="136"/>
      <c r="Q123" s="136"/>
      <c r="R123" s="136"/>
      <c r="S123" s="136"/>
      <c r="Z123" s="121"/>
      <c r="AA123" s="170"/>
      <c r="AB123" s="224"/>
      <c r="AC123" s="121"/>
    </row>
    <row r="124" spans="1:29" x14ac:dyDescent="0.25">
      <c r="K124" s="136"/>
      <c r="L124" s="137"/>
      <c r="M124" s="192"/>
      <c r="N124" s="192"/>
      <c r="O124" s="192"/>
      <c r="P124" s="136"/>
      <c r="Q124" s="136"/>
      <c r="R124" s="136"/>
      <c r="S124" s="136"/>
      <c r="Z124" s="121"/>
      <c r="AA124" s="121"/>
      <c r="AB124" s="226"/>
      <c r="AC124" s="121"/>
    </row>
    <row r="125" spans="1:29" x14ac:dyDescent="0.25">
      <c r="K125" s="136"/>
      <c r="L125" s="137"/>
      <c r="M125" s="192"/>
      <c r="N125" s="136"/>
      <c r="O125" s="136"/>
      <c r="P125" s="136"/>
      <c r="Q125" s="136"/>
      <c r="R125" s="136"/>
      <c r="S125" s="136"/>
      <c r="Z125" s="121"/>
      <c r="AA125" s="121"/>
      <c r="AB125" s="226"/>
      <c r="AC125" s="121"/>
    </row>
    <row r="126" spans="1:29" x14ac:dyDescent="0.25">
      <c r="K126" s="136"/>
      <c r="L126" s="137"/>
      <c r="M126" s="136"/>
      <c r="N126" s="136"/>
      <c r="O126" s="136"/>
      <c r="P126" s="136"/>
      <c r="Q126" s="136"/>
      <c r="R126" s="136"/>
      <c r="S126" s="136"/>
      <c r="Z126" s="121"/>
      <c r="AA126" s="121"/>
      <c r="AB126" s="226"/>
      <c r="AC126" s="121"/>
    </row>
    <row r="127" spans="1:29" x14ac:dyDescent="0.25">
      <c r="K127" s="136"/>
      <c r="L127" s="137"/>
      <c r="M127" s="136"/>
      <c r="N127" s="136"/>
      <c r="O127" s="136"/>
      <c r="P127" s="136"/>
      <c r="Q127" s="136"/>
      <c r="R127" s="136"/>
      <c r="S127" s="136"/>
      <c r="Z127" s="121"/>
      <c r="AA127" s="121"/>
      <c r="AB127" s="226"/>
      <c r="AC127" s="121"/>
    </row>
    <row r="128" spans="1:29" x14ac:dyDescent="0.25">
      <c r="K128" s="136"/>
      <c r="L128" s="137"/>
      <c r="M128" s="136"/>
      <c r="N128" s="136"/>
      <c r="O128" s="136"/>
      <c r="P128" s="136"/>
      <c r="Q128" s="136"/>
      <c r="R128" s="136"/>
      <c r="S128" s="136"/>
      <c r="Z128" s="121"/>
      <c r="AA128" s="121"/>
      <c r="AB128" s="226"/>
      <c r="AC128" s="121"/>
    </row>
    <row r="129" spans="11:29" x14ac:dyDescent="0.25">
      <c r="K129" s="136"/>
      <c r="L129" s="136"/>
      <c r="M129" s="136"/>
      <c r="N129" s="136"/>
      <c r="O129" s="136"/>
      <c r="P129" s="136"/>
      <c r="Q129" s="136"/>
      <c r="R129" s="136"/>
      <c r="S129" s="136"/>
      <c r="Z129" s="121"/>
      <c r="AA129" s="121"/>
      <c r="AB129" s="226"/>
      <c r="AC129" s="121"/>
    </row>
    <row r="130" spans="11:29" x14ac:dyDescent="0.25">
      <c r="K130" s="136"/>
      <c r="L130" s="136"/>
      <c r="M130" s="136"/>
      <c r="N130" s="136"/>
      <c r="O130" s="136"/>
      <c r="P130" s="136"/>
      <c r="Q130" s="136"/>
      <c r="R130" s="136"/>
      <c r="S130" s="136"/>
      <c r="Z130" s="121"/>
      <c r="AA130" s="121"/>
      <c r="AB130" s="226"/>
      <c r="AC130" s="121"/>
    </row>
    <row r="131" spans="11:29" x14ac:dyDescent="0.25">
      <c r="K131" s="136"/>
      <c r="L131" s="136"/>
      <c r="M131" s="136"/>
      <c r="N131" s="136"/>
      <c r="O131" s="124"/>
      <c r="P131" s="136"/>
      <c r="Q131" s="136"/>
      <c r="R131" s="136"/>
      <c r="S131" s="136"/>
      <c r="Z131" s="121"/>
      <c r="AA131" s="121"/>
      <c r="AB131" s="226"/>
      <c r="AC131" s="121"/>
    </row>
    <row r="132" spans="11:29" x14ac:dyDescent="0.25">
      <c r="K132" s="136"/>
      <c r="L132" s="136"/>
      <c r="M132" s="136"/>
      <c r="N132" s="136"/>
      <c r="O132" s="124"/>
      <c r="Q132" s="136"/>
      <c r="Z132" s="121"/>
      <c r="AA132" s="121"/>
      <c r="AB132" s="226"/>
      <c r="AC132" s="121"/>
    </row>
    <row r="133" spans="11:29" x14ac:dyDescent="0.25">
      <c r="K133" s="136"/>
      <c r="L133" s="136"/>
      <c r="M133" s="136"/>
      <c r="N133" s="136"/>
      <c r="O133" s="124"/>
      <c r="Z133" s="121"/>
      <c r="AA133" s="121"/>
      <c r="AB133" s="226"/>
      <c r="AC133" s="121"/>
    </row>
    <row r="134" spans="11:29" x14ac:dyDescent="0.25">
      <c r="K134" s="136"/>
      <c r="L134" s="136"/>
      <c r="M134" s="136"/>
      <c r="N134" s="136"/>
      <c r="O134" s="124"/>
      <c r="Z134" s="121"/>
      <c r="AA134" s="121"/>
      <c r="AB134" s="226"/>
      <c r="AC134" s="121"/>
    </row>
    <row r="135" spans="11:29" x14ac:dyDescent="0.25">
      <c r="K135" s="136"/>
      <c r="L135" s="136"/>
      <c r="M135" s="136"/>
      <c r="N135" s="136"/>
      <c r="O135" s="124"/>
      <c r="Z135" s="121"/>
      <c r="AA135" s="121"/>
      <c r="AB135" s="226"/>
      <c r="AC135" s="121"/>
    </row>
    <row r="136" spans="11:29" x14ac:dyDescent="0.25">
      <c r="K136" s="136"/>
      <c r="L136" s="136"/>
      <c r="M136" s="136"/>
      <c r="N136" s="136"/>
      <c r="O136" s="124"/>
      <c r="Z136" s="121"/>
      <c r="AA136" s="121"/>
      <c r="AB136" s="226"/>
      <c r="AC136" s="121"/>
    </row>
    <row r="137" spans="11:29" x14ac:dyDescent="0.25">
      <c r="K137" s="136"/>
      <c r="L137" s="136"/>
      <c r="M137" s="136"/>
      <c r="N137" s="136"/>
      <c r="O137" s="124"/>
      <c r="Z137" s="121"/>
      <c r="AA137" s="121"/>
      <c r="AB137" s="226"/>
      <c r="AC137" s="121"/>
    </row>
    <row r="138" spans="11:29" x14ac:dyDescent="0.25">
      <c r="K138" s="136"/>
      <c r="L138" s="136"/>
      <c r="M138" s="136"/>
      <c r="N138" s="136"/>
      <c r="O138" s="124"/>
      <c r="Z138" s="121"/>
      <c r="AA138" s="121"/>
      <c r="AB138" s="226"/>
      <c r="AC138" s="121"/>
    </row>
    <row r="139" spans="11:29" x14ac:dyDescent="0.25">
      <c r="K139" s="136"/>
      <c r="L139" s="136"/>
      <c r="M139" s="136"/>
      <c r="N139" s="136"/>
      <c r="O139" s="124"/>
      <c r="Z139" s="121"/>
      <c r="AA139" s="121"/>
      <c r="AB139" s="226"/>
      <c r="AC139" s="121"/>
    </row>
    <row r="140" spans="11:29" x14ac:dyDescent="0.25">
      <c r="K140" s="136"/>
      <c r="L140" s="136"/>
      <c r="M140" s="136"/>
      <c r="N140" s="136"/>
      <c r="O140" s="124"/>
      <c r="Z140" s="121"/>
      <c r="AA140" s="121"/>
      <c r="AB140" s="226"/>
      <c r="AC140" s="121"/>
    </row>
    <row r="141" spans="11:29" x14ac:dyDescent="0.25">
      <c r="K141" s="136"/>
      <c r="L141" s="136"/>
      <c r="M141" s="136"/>
      <c r="N141" s="136"/>
      <c r="O141" s="124"/>
      <c r="Z141" s="121"/>
      <c r="AA141" s="121"/>
      <c r="AB141" s="226"/>
      <c r="AC141" s="121"/>
    </row>
    <row r="142" spans="11:29" x14ac:dyDescent="0.25">
      <c r="K142" s="136"/>
      <c r="L142" s="136"/>
      <c r="M142" s="136"/>
      <c r="N142" s="136"/>
      <c r="O142" s="124"/>
      <c r="Z142" s="121"/>
      <c r="AA142" s="121"/>
      <c r="AB142" s="226"/>
      <c r="AC142" s="121"/>
    </row>
    <row r="143" spans="11:29" x14ac:dyDescent="0.25">
      <c r="K143" s="136"/>
      <c r="L143" s="136"/>
      <c r="M143" s="136"/>
      <c r="N143" s="136"/>
      <c r="O143" s="124"/>
      <c r="Z143" s="121"/>
      <c r="AA143" s="121"/>
      <c r="AB143" s="226"/>
      <c r="AC143" s="121"/>
    </row>
    <row r="144" spans="11:29" x14ac:dyDescent="0.25">
      <c r="K144" s="136"/>
      <c r="L144" s="136"/>
      <c r="M144" s="136"/>
      <c r="N144" s="136"/>
      <c r="O144" s="124"/>
      <c r="Z144" s="121"/>
      <c r="AA144" s="121"/>
      <c r="AB144" s="226"/>
      <c r="AC144" s="121"/>
    </row>
    <row r="145" spans="11:29" x14ac:dyDescent="0.25">
      <c r="K145" s="136"/>
      <c r="L145" s="136"/>
      <c r="M145" s="136"/>
      <c r="N145" s="136"/>
      <c r="O145" s="124"/>
      <c r="Z145" s="121"/>
      <c r="AA145" s="121"/>
      <c r="AB145" s="226"/>
      <c r="AC145" s="121"/>
    </row>
    <row r="146" spans="11:29" x14ac:dyDescent="0.25">
      <c r="K146" s="136"/>
      <c r="L146" s="136"/>
      <c r="M146" s="136"/>
      <c r="N146" s="136"/>
      <c r="O146" s="124"/>
      <c r="Z146" s="121"/>
      <c r="AA146" s="121"/>
      <c r="AB146" s="226"/>
      <c r="AC146" s="121"/>
    </row>
    <row r="147" spans="11:29" x14ac:dyDescent="0.25">
      <c r="K147" s="136"/>
      <c r="L147" s="136"/>
      <c r="M147" s="136"/>
      <c r="N147" s="136"/>
      <c r="O147" s="124"/>
      <c r="Z147" s="121"/>
      <c r="AA147" s="121"/>
      <c r="AB147" s="226"/>
      <c r="AC147" s="121"/>
    </row>
    <row r="148" spans="11:29" x14ac:dyDescent="0.25">
      <c r="K148" s="136"/>
      <c r="L148" s="136"/>
      <c r="M148" s="136"/>
      <c r="N148" s="136"/>
      <c r="O148" s="124"/>
      <c r="Z148" s="121"/>
      <c r="AA148" s="121"/>
      <c r="AB148" s="226"/>
      <c r="AC148" s="121"/>
    </row>
    <row r="149" spans="11:29" x14ac:dyDescent="0.25">
      <c r="K149" s="136"/>
      <c r="L149" s="136"/>
      <c r="M149" s="136"/>
      <c r="N149" s="124"/>
      <c r="O149" s="124"/>
      <c r="Z149" s="121"/>
      <c r="AA149" s="121"/>
      <c r="AB149" s="226"/>
      <c r="AC149" s="121"/>
    </row>
    <row r="150" spans="11:29" x14ac:dyDescent="0.25">
      <c r="K150" s="136"/>
      <c r="M150" s="124"/>
      <c r="N150" s="124"/>
      <c r="O150" s="124"/>
      <c r="Z150" s="121"/>
      <c r="AA150" s="121"/>
      <c r="AB150" s="226"/>
      <c r="AC150" s="121"/>
    </row>
    <row r="151" spans="11:29" x14ac:dyDescent="0.25">
      <c r="K151" s="136"/>
      <c r="M151" s="124"/>
      <c r="N151" s="124"/>
      <c r="O151" s="124"/>
      <c r="Z151" s="121"/>
      <c r="AA151" s="121"/>
      <c r="AB151" s="226"/>
      <c r="AC151" s="121"/>
    </row>
    <row r="152" spans="11:29" x14ac:dyDescent="0.25">
      <c r="K152" s="136"/>
      <c r="M152" s="124"/>
      <c r="N152" s="124"/>
      <c r="O152" s="124"/>
      <c r="Z152" s="121"/>
      <c r="AA152" s="121"/>
      <c r="AB152" s="226"/>
      <c r="AC152" s="121"/>
    </row>
    <row r="153" spans="11:29" x14ac:dyDescent="0.25">
      <c r="M153" s="124"/>
      <c r="N153" s="124"/>
      <c r="O153" s="124"/>
      <c r="Z153" s="121"/>
      <c r="AA153" s="121"/>
      <c r="AB153" s="226"/>
      <c r="AC153" s="121"/>
    </row>
    <row r="154" spans="11:29" x14ac:dyDescent="0.25">
      <c r="M154" s="124"/>
      <c r="N154" s="124"/>
      <c r="O154" s="124"/>
      <c r="Z154" s="121"/>
      <c r="AA154" s="121"/>
      <c r="AB154" s="226"/>
      <c r="AC154" s="121"/>
    </row>
    <row r="155" spans="11:29" x14ac:dyDescent="0.25">
      <c r="M155" s="124"/>
      <c r="N155" s="124"/>
      <c r="O155" s="124"/>
      <c r="Z155" s="121"/>
      <c r="AA155" s="121"/>
      <c r="AB155" s="226"/>
      <c r="AC155" s="121"/>
    </row>
    <row r="156" spans="11:29" x14ac:dyDescent="0.25">
      <c r="M156" s="124"/>
      <c r="N156" s="124"/>
      <c r="O156" s="124"/>
      <c r="Z156" s="121"/>
      <c r="AA156" s="121"/>
      <c r="AB156" s="226"/>
      <c r="AC156" s="121"/>
    </row>
    <row r="157" spans="11:29" x14ac:dyDescent="0.25">
      <c r="M157" s="124"/>
      <c r="N157" s="124"/>
      <c r="O157" s="124"/>
      <c r="Z157" s="121"/>
      <c r="AA157" s="121"/>
      <c r="AB157" s="226"/>
      <c r="AC157" s="121"/>
    </row>
    <row r="158" spans="11:29" x14ac:dyDescent="0.25">
      <c r="M158" s="124"/>
      <c r="N158" s="124"/>
      <c r="O158" s="124"/>
      <c r="Z158" s="121"/>
      <c r="AA158" s="121"/>
      <c r="AB158" s="226"/>
      <c r="AC158" s="121"/>
    </row>
    <row r="159" spans="11:29" x14ac:dyDescent="0.25">
      <c r="M159" s="124"/>
      <c r="N159" s="124"/>
      <c r="O159" s="124"/>
      <c r="Z159" s="121"/>
      <c r="AA159" s="121"/>
      <c r="AB159" s="226"/>
      <c r="AC159" s="121"/>
    </row>
    <row r="160" spans="11:29" x14ac:dyDescent="0.25">
      <c r="M160" s="124"/>
      <c r="Z160" s="121"/>
      <c r="AA160" s="121"/>
      <c r="AB160" s="226"/>
      <c r="AC160" s="121"/>
    </row>
    <row r="161" spans="26:29" x14ac:dyDescent="0.25">
      <c r="Z161" s="121"/>
      <c r="AA161" s="121"/>
      <c r="AB161" s="226"/>
      <c r="AC161" s="121"/>
    </row>
    <row r="162" spans="26:29" x14ac:dyDescent="0.25">
      <c r="Z162" s="121"/>
      <c r="AA162" s="121"/>
      <c r="AB162" s="226"/>
      <c r="AC162" s="121"/>
    </row>
    <row r="163" spans="26:29" x14ac:dyDescent="0.25">
      <c r="Z163" s="121"/>
      <c r="AA163" s="121"/>
      <c r="AB163" s="226"/>
      <c r="AC163" s="121"/>
    </row>
    <row r="164" spans="26:29" x14ac:dyDescent="0.25">
      <c r="Z164" s="121"/>
      <c r="AA164" s="121"/>
      <c r="AB164" s="226"/>
      <c r="AC164" s="121"/>
    </row>
    <row r="165" spans="26:29" x14ac:dyDescent="0.25">
      <c r="Z165" s="121"/>
      <c r="AA165" s="121"/>
      <c r="AB165" s="226"/>
      <c r="AC165" s="121"/>
    </row>
    <row r="166" spans="26:29" x14ac:dyDescent="0.25">
      <c r="Z166" s="121"/>
      <c r="AA166" s="121"/>
      <c r="AB166" s="226"/>
      <c r="AC166" s="121"/>
    </row>
    <row r="167" spans="26:29" x14ac:dyDescent="0.25">
      <c r="Z167" s="121"/>
      <c r="AA167" s="121"/>
      <c r="AB167" s="226"/>
      <c r="AC167" s="121"/>
    </row>
    <row r="168" spans="26:29" x14ac:dyDescent="0.25">
      <c r="Z168" s="121"/>
      <c r="AA168" s="121"/>
      <c r="AB168" s="226"/>
      <c r="AC168" s="121"/>
    </row>
    <row r="169" spans="26:29" x14ac:dyDescent="0.25">
      <c r="Z169" s="121"/>
      <c r="AA169" s="121"/>
      <c r="AB169" s="226"/>
      <c r="AC169" s="121"/>
    </row>
    <row r="170" spans="26:29" x14ac:dyDescent="0.25">
      <c r="Z170" s="121"/>
      <c r="AA170" s="121"/>
      <c r="AB170" s="226"/>
      <c r="AC170" s="121"/>
    </row>
    <row r="171" spans="26:29" x14ac:dyDescent="0.25">
      <c r="Z171" s="121"/>
      <c r="AA171" s="121"/>
      <c r="AB171" s="226"/>
      <c r="AC171" s="121"/>
    </row>
    <row r="172" spans="26:29" x14ac:dyDescent="0.25">
      <c r="Z172" s="121"/>
      <c r="AA172" s="121"/>
      <c r="AB172" s="226"/>
      <c r="AC172" s="121"/>
    </row>
    <row r="173" spans="26:29" x14ac:dyDescent="0.25">
      <c r="Z173" s="121"/>
      <c r="AA173" s="121"/>
      <c r="AB173" s="226"/>
      <c r="AC173" s="121"/>
    </row>
    <row r="174" spans="26:29" x14ac:dyDescent="0.25">
      <c r="Z174" s="121"/>
      <c r="AA174" s="121"/>
      <c r="AB174" s="226"/>
      <c r="AC174" s="121"/>
    </row>
    <row r="175" spans="26:29" x14ac:dyDescent="0.25">
      <c r="Z175" s="121"/>
      <c r="AA175" s="121"/>
      <c r="AB175" s="226"/>
      <c r="AC175" s="121"/>
    </row>
    <row r="176" spans="26:29" x14ac:dyDescent="0.25">
      <c r="Z176" s="121"/>
      <c r="AA176" s="121"/>
      <c r="AB176" s="226"/>
      <c r="AC176" s="121"/>
    </row>
    <row r="177" spans="26:29" x14ac:dyDescent="0.25">
      <c r="Z177" s="121"/>
      <c r="AA177" s="121"/>
      <c r="AB177" s="226"/>
      <c r="AC177" s="121"/>
    </row>
    <row r="178" spans="26:29" x14ac:dyDescent="0.25">
      <c r="Z178" s="121"/>
      <c r="AA178" s="121"/>
      <c r="AB178" s="226"/>
      <c r="AC178" s="121"/>
    </row>
    <row r="179" spans="26:29" x14ac:dyDescent="0.25">
      <c r="Z179" s="121"/>
      <c r="AA179" s="121"/>
      <c r="AB179" s="226"/>
      <c r="AC179" s="121"/>
    </row>
    <row r="180" spans="26:29" x14ac:dyDescent="0.25">
      <c r="Z180" s="121"/>
      <c r="AA180" s="121"/>
      <c r="AB180" s="226"/>
      <c r="AC180" s="121"/>
    </row>
    <row r="181" spans="26:29" x14ac:dyDescent="0.25">
      <c r="Z181" s="121"/>
      <c r="AA181" s="121"/>
      <c r="AB181" s="226"/>
      <c r="AC181" s="121"/>
    </row>
    <row r="182" spans="26:29" x14ac:dyDescent="0.25">
      <c r="Z182" s="121"/>
      <c r="AA182" s="121"/>
      <c r="AB182" s="226"/>
      <c r="AC182" s="121"/>
    </row>
    <row r="183" spans="26:29" x14ac:dyDescent="0.25">
      <c r="Z183" s="121"/>
      <c r="AA183" s="121"/>
      <c r="AB183" s="226"/>
      <c r="AC183" s="121"/>
    </row>
    <row r="184" spans="26:29" x14ac:dyDescent="0.25">
      <c r="Z184" s="121"/>
      <c r="AA184" s="121"/>
      <c r="AB184" s="226"/>
      <c r="AC184" s="121"/>
    </row>
    <row r="185" spans="26:29" x14ac:dyDescent="0.25">
      <c r="Z185" s="121"/>
      <c r="AA185" s="121"/>
      <c r="AB185" s="226"/>
      <c r="AC185" s="121"/>
    </row>
    <row r="186" spans="26:29" x14ac:dyDescent="0.25">
      <c r="Z186" s="121"/>
      <c r="AA186" s="121"/>
      <c r="AB186" s="226"/>
      <c r="AC186" s="121"/>
    </row>
    <row r="187" spans="26:29" x14ac:dyDescent="0.25">
      <c r="Z187" s="121"/>
      <c r="AA187" s="121"/>
      <c r="AB187" s="226"/>
      <c r="AC187" s="121"/>
    </row>
    <row r="188" spans="26:29" x14ac:dyDescent="0.25">
      <c r="Z188" s="121"/>
      <c r="AA188" s="121"/>
      <c r="AB188" s="226"/>
      <c r="AC188" s="121"/>
    </row>
    <row r="189" spans="26:29" x14ac:dyDescent="0.25">
      <c r="Z189" s="121"/>
      <c r="AA189" s="121"/>
      <c r="AB189" s="226"/>
      <c r="AC189" s="121"/>
    </row>
    <row r="190" spans="26:29" x14ac:dyDescent="0.25">
      <c r="Z190" s="121"/>
      <c r="AA190" s="121"/>
      <c r="AB190" s="226"/>
      <c r="AC190" s="121"/>
    </row>
    <row r="191" spans="26:29" x14ac:dyDescent="0.25">
      <c r="Z191" s="121"/>
      <c r="AA191" s="121"/>
      <c r="AB191" s="226"/>
      <c r="AC191" s="121"/>
    </row>
  </sheetData>
  <autoFilter ref="J1:J191" xr:uid="{29A66CFB-98DC-BE47-BA62-E7DB2432E1F5}"/>
  <mergeCells count="23">
    <mergeCell ref="A59:C59"/>
    <mergeCell ref="AA102:AA104"/>
    <mergeCell ref="O96:P96"/>
    <mergeCell ref="O89:P89"/>
    <mergeCell ref="O86:P86"/>
    <mergeCell ref="O84:P84"/>
    <mergeCell ref="O83:P83"/>
    <mergeCell ref="O91:P91"/>
    <mergeCell ref="O92:P92"/>
    <mergeCell ref="O93:P93"/>
    <mergeCell ref="O94:P94"/>
    <mergeCell ref="O95:P95"/>
    <mergeCell ref="G84:J84"/>
    <mergeCell ref="O85:P85"/>
    <mergeCell ref="O87:P87"/>
    <mergeCell ref="O88:P88"/>
    <mergeCell ref="O90:P90"/>
    <mergeCell ref="AB104:AB105"/>
    <mergeCell ref="AA109:AA110"/>
    <mergeCell ref="AA119:AA122"/>
    <mergeCell ref="G97:J97"/>
    <mergeCell ref="Y100:Z100"/>
    <mergeCell ref="AA106:AA107"/>
  </mergeCells>
  <pageMargins left="0.7" right="0.7" top="0.75" bottom="0.75" header="0.3" footer="0.3"/>
  <pageSetup paperSize="9" orientation="portrait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6F11B-A8A8-A343-A37E-5968BB172E73}">
  <sheetPr>
    <pageSetUpPr fitToPage="1"/>
  </sheetPr>
  <dimension ref="A1:E87"/>
  <sheetViews>
    <sheetView topLeftCell="A32" workbookViewId="0">
      <selection activeCell="D36" sqref="D36"/>
    </sheetView>
  </sheetViews>
  <sheetFormatPr baseColWidth="10" defaultRowHeight="16" x14ac:dyDescent="0.2"/>
  <cols>
    <col min="1" max="1" width="35.1640625" customWidth="1"/>
    <col min="2" max="2" width="29.83203125" customWidth="1"/>
    <col min="3" max="3" width="21.5" customWidth="1"/>
    <col min="4" max="4" width="23.5" customWidth="1"/>
    <col min="5" max="5" width="15.33203125" customWidth="1"/>
  </cols>
  <sheetData>
    <row r="1" spans="1:5" ht="60" customHeight="1" x14ac:dyDescent="0.2">
      <c r="A1" s="807" t="s">
        <v>287</v>
      </c>
      <c r="B1" s="808"/>
      <c r="C1" s="808"/>
      <c r="D1" s="808"/>
      <c r="E1" s="809"/>
    </row>
    <row r="2" spans="1:5" ht="52" customHeight="1" thickBot="1" x14ac:dyDescent="0.25">
      <c r="A2" s="810" t="s">
        <v>357</v>
      </c>
      <c r="B2" s="811"/>
      <c r="C2" s="811"/>
      <c r="D2" s="811"/>
      <c r="E2" s="812"/>
    </row>
    <row r="3" spans="1:5" ht="41" customHeight="1" thickBot="1" x14ac:dyDescent="0.25">
      <c r="A3" s="831" t="s">
        <v>335</v>
      </c>
      <c r="B3" s="832"/>
      <c r="C3" s="832"/>
      <c r="D3" s="832"/>
      <c r="E3" s="833"/>
    </row>
    <row r="4" spans="1:5" x14ac:dyDescent="0.2">
      <c r="A4" s="834" t="s">
        <v>230</v>
      </c>
      <c r="B4" s="834" t="s">
        <v>231</v>
      </c>
      <c r="C4" s="320"/>
      <c r="D4" s="837" t="s">
        <v>232</v>
      </c>
      <c r="E4" s="834" t="s">
        <v>233</v>
      </c>
    </row>
    <row r="5" spans="1:5" x14ac:dyDescent="0.2">
      <c r="A5" s="835"/>
      <c r="B5" s="835"/>
      <c r="C5" s="320"/>
      <c r="D5" s="838"/>
      <c r="E5" s="835"/>
    </row>
    <row r="6" spans="1:5" ht="17" thickBot="1" x14ac:dyDescent="0.25">
      <c r="A6" s="836"/>
      <c r="B6" s="836"/>
      <c r="C6" s="321" t="s">
        <v>22</v>
      </c>
      <c r="D6" s="839"/>
      <c r="E6" s="836"/>
    </row>
    <row r="7" spans="1:5" ht="17" thickBot="1" x14ac:dyDescent="0.25">
      <c r="A7" s="322" t="s">
        <v>10</v>
      </c>
      <c r="B7" s="487" t="s">
        <v>251</v>
      </c>
      <c r="C7" s="323" t="s">
        <v>186</v>
      </c>
      <c r="D7" s="324" t="s">
        <v>235</v>
      </c>
      <c r="E7" s="679">
        <v>60</v>
      </c>
    </row>
    <row r="8" spans="1:5" ht="17" thickBot="1" x14ac:dyDescent="0.25">
      <c r="A8" s="322" t="s">
        <v>10</v>
      </c>
      <c r="B8" s="487" t="s">
        <v>252</v>
      </c>
      <c r="C8" s="323" t="s">
        <v>186</v>
      </c>
      <c r="D8" s="324" t="s">
        <v>210</v>
      </c>
      <c r="E8" s="679">
        <v>90</v>
      </c>
    </row>
    <row r="9" spans="1:5" ht="17" thickBot="1" x14ac:dyDescent="0.25">
      <c r="A9" s="322" t="s">
        <v>10</v>
      </c>
      <c r="B9" s="487" t="s">
        <v>250</v>
      </c>
      <c r="C9" s="323" t="s">
        <v>186</v>
      </c>
      <c r="D9" s="324" t="s">
        <v>90</v>
      </c>
      <c r="E9" s="679">
        <v>36</v>
      </c>
    </row>
    <row r="10" spans="1:5" ht="17" thickBot="1" x14ac:dyDescent="0.25">
      <c r="A10" s="322" t="s">
        <v>329</v>
      </c>
      <c r="B10" s="487" t="s">
        <v>330</v>
      </c>
      <c r="C10" s="323" t="s">
        <v>186</v>
      </c>
      <c r="D10" s="324" t="s">
        <v>90</v>
      </c>
      <c r="E10" s="679">
        <v>62.5</v>
      </c>
    </row>
    <row r="11" spans="1:5" x14ac:dyDescent="0.2">
      <c r="A11" s="819"/>
      <c r="B11" s="820"/>
      <c r="C11" s="820"/>
      <c r="D11" s="821"/>
      <c r="E11" s="825">
        <f>SUM(E7:E10)</f>
        <v>248.5</v>
      </c>
    </row>
    <row r="12" spans="1:5" ht="17" thickBot="1" x14ac:dyDescent="0.25">
      <c r="A12" s="822" t="s">
        <v>236</v>
      </c>
      <c r="B12" s="823"/>
      <c r="C12" s="823"/>
      <c r="D12" s="824"/>
      <c r="E12" s="826"/>
    </row>
    <row r="13" spans="1:5" x14ac:dyDescent="0.2">
      <c r="A13" s="728"/>
      <c r="B13" s="20"/>
      <c r="C13" s="20"/>
      <c r="D13" s="20"/>
      <c r="E13" s="729"/>
    </row>
    <row r="14" spans="1:5" ht="19" thickBot="1" x14ac:dyDescent="0.25">
      <c r="A14" s="730" t="s">
        <v>331</v>
      </c>
      <c r="B14" s="20"/>
      <c r="C14" s="20"/>
      <c r="D14" s="20"/>
      <c r="E14" s="729"/>
    </row>
    <row r="15" spans="1:5" x14ac:dyDescent="0.2">
      <c r="A15" s="435" t="s">
        <v>0</v>
      </c>
      <c r="B15" s="681" t="s">
        <v>1</v>
      </c>
      <c r="C15" s="682" t="s">
        <v>111</v>
      </c>
      <c r="D15" s="682" t="s">
        <v>237</v>
      </c>
      <c r="E15" s="729"/>
    </row>
    <row r="16" spans="1:5" x14ac:dyDescent="0.2">
      <c r="A16" s="731" t="s">
        <v>13</v>
      </c>
      <c r="B16" s="683" t="s">
        <v>99</v>
      </c>
      <c r="C16" s="683">
        <v>101219</v>
      </c>
      <c r="D16" s="684">
        <v>975.68</v>
      </c>
      <c r="E16" s="729"/>
    </row>
    <row r="17" spans="1:5" x14ac:dyDescent="0.2">
      <c r="A17" s="731" t="s">
        <v>13</v>
      </c>
      <c r="B17" s="683" t="s">
        <v>99</v>
      </c>
      <c r="C17" s="683">
        <v>101226</v>
      </c>
      <c r="D17" s="684">
        <v>896.05</v>
      </c>
      <c r="E17" s="729"/>
    </row>
    <row r="18" spans="1:5" x14ac:dyDescent="0.2">
      <c r="A18" s="731" t="s">
        <v>168</v>
      </c>
      <c r="B18" s="683" t="s">
        <v>169</v>
      </c>
      <c r="C18" s="683">
        <v>101231</v>
      </c>
      <c r="D18" s="684">
        <v>240</v>
      </c>
      <c r="E18" s="729"/>
    </row>
    <row r="19" spans="1:5" x14ac:dyDescent="0.2">
      <c r="A19" s="731" t="s">
        <v>234</v>
      </c>
      <c r="B19" s="683" t="s">
        <v>99</v>
      </c>
      <c r="C19" s="683">
        <v>101232</v>
      </c>
      <c r="D19" s="684">
        <v>1463.54</v>
      </c>
      <c r="E19" s="729"/>
    </row>
    <row r="20" spans="1:5" x14ac:dyDescent="0.2">
      <c r="A20" s="731" t="s">
        <v>13</v>
      </c>
      <c r="B20" s="683" t="s">
        <v>99</v>
      </c>
      <c r="C20" s="683">
        <v>101234</v>
      </c>
      <c r="D20" s="684">
        <v>318.58999999999997</v>
      </c>
      <c r="E20" s="729"/>
    </row>
    <row r="21" spans="1:5" x14ac:dyDescent="0.2">
      <c r="A21" s="732" t="s">
        <v>10</v>
      </c>
      <c r="B21" s="680" t="s">
        <v>251</v>
      </c>
      <c r="C21" s="685" t="s">
        <v>186</v>
      </c>
      <c r="D21" s="686">
        <v>60</v>
      </c>
      <c r="E21" s="729"/>
    </row>
    <row r="22" spans="1:5" x14ac:dyDescent="0.2">
      <c r="A22" s="732" t="s">
        <v>10</v>
      </c>
      <c r="B22" s="680" t="s">
        <v>252</v>
      </c>
      <c r="C22" s="685" t="s">
        <v>186</v>
      </c>
      <c r="D22" s="686">
        <v>90</v>
      </c>
      <c r="E22" s="729"/>
    </row>
    <row r="23" spans="1:5" x14ac:dyDescent="0.2">
      <c r="A23" s="732" t="s">
        <v>10</v>
      </c>
      <c r="B23" s="680" t="s">
        <v>250</v>
      </c>
      <c r="C23" s="685" t="s">
        <v>186</v>
      </c>
      <c r="D23" s="686">
        <v>36</v>
      </c>
      <c r="E23" s="729"/>
    </row>
    <row r="24" spans="1:5" x14ac:dyDescent="0.2">
      <c r="A24" s="732" t="s">
        <v>329</v>
      </c>
      <c r="B24" s="680" t="s">
        <v>330</v>
      </c>
      <c r="C24" s="685" t="s">
        <v>186</v>
      </c>
      <c r="D24" s="686">
        <v>62.5</v>
      </c>
      <c r="E24" s="729"/>
    </row>
    <row r="25" spans="1:5" x14ac:dyDescent="0.2">
      <c r="A25" s="732" t="s">
        <v>333</v>
      </c>
      <c r="B25" s="680" t="s">
        <v>99</v>
      </c>
      <c r="C25" s="685" t="s">
        <v>186</v>
      </c>
      <c r="D25" s="686">
        <v>325</v>
      </c>
      <c r="E25" s="729"/>
    </row>
    <row r="26" spans="1:5" x14ac:dyDescent="0.2">
      <c r="A26" s="325"/>
      <c r="B26" s="827"/>
      <c r="C26" s="827"/>
      <c r="D26" s="829">
        <f>SUM(D16:D25)</f>
        <v>4467.3600000000006</v>
      </c>
      <c r="E26" s="729"/>
    </row>
    <row r="27" spans="1:5" ht="17" thickBot="1" x14ac:dyDescent="0.25">
      <c r="A27" s="326" t="s">
        <v>7</v>
      </c>
      <c r="B27" s="828"/>
      <c r="C27" s="828"/>
      <c r="D27" s="830"/>
      <c r="E27" s="729"/>
    </row>
    <row r="28" spans="1:5" x14ac:dyDescent="0.2">
      <c r="A28" s="728"/>
      <c r="B28" s="20"/>
      <c r="C28" s="20"/>
      <c r="D28" s="20"/>
      <c r="E28" s="729"/>
    </row>
    <row r="29" spans="1:5" ht="21" thickBot="1" x14ac:dyDescent="0.25">
      <c r="A29" s="733" t="s">
        <v>238</v>
      </c>
      <c r="B29" s="20"/>
      <c r="C29" s="20"/>
      <c r="D29" s="20"/>
      <c r="E29" s="729"/>
    </row>
    <row r="30" spans="1:5" x14ac:dyDescent="0.2">
      <c r="A30" s="327" t="s">
        <v>248</v>
      </c>
      <c r="B30" s="813">
        <v>57737.279999999999</v>
      </c>
      <c r="C30" s="20"/>
      <c r="D30" s="20"/>
      <c r="E30" s="729"/>
    </row>
    <row r="31" spans="1:5" ht="46" thickBot="1" x14ac:dyDescent="0.25">
      <c r="A31" s="328" t="s">
        <v>239</v>
      </c>
      <c r="B31" s="814"/>
      <c r="C31" s="20"/>
      <c r="D31" s="20"/>
      <c r="E31" s="729"/>
    </row>
    <row r="32" spans="1:5" ht="17" thickBot="1" x14ac:dyDescent="0.25">
      <c r="A32" s="328" t="s">
        <v>332</v>
      </c>
      <c r="B32" s="329">
        <v>11997.28</v>
      </c>
      <c r="C32" s="20"/>
      <c r="D32" s="20"/>
      <c r="E32" s="729"/>
    </row>
    <row r="33" spans="1:5" x14ac:dyDescent="0.2">
      <c r="A33" s="815" t="s">
        <v>240</v>
      </c>
      <c r="B33" s="817">
        <f>B30+B32</f>
        <v>69734.559999999998</v>
      </c>
      <c r="C33" s="20"/>
      <c r="D33" s="20"/>
      <c r="E33" s="729"/>
    </row>
    <row r="34" spans="1:5" ht="17" thickBot="1" x14ac:dyDescent="0.25">
      <c r="A34" s="816"/>
      <c r="B34" s="818"/>
      <c r="C34" s="20"/>
      <c r="D34" s="20"/>
      <c r="E34" s="729"/>
    </row>
    <row r="35" spans="1:5" ht="17" thickBot="1" x14ac:dyDescent="0.25">
      <c r="A35" s="330" t="s">
        <v>334</v>
      </c>
      <c r="B35" s="331">
        <f>D26</f>
        <v>4467.3600000000006</v>
      </c>
      <c r="C35" s="20"/>
      <c r="D35" s="20"/>
      <c r="E35" s="729"/>
    </row>
    <row r="36" spans="1:5" x14ac:dyDescent="0.2">
      <c r="A36" s="332" t="s">
        <v>241</v>
      </c>
      <c r="B36" s="333">
        <f>B33-B35</f>
        <v>65267.199999999997</v>
      </c>
      <c r="C36" s="20"/>
      <c r="D36" s="20"/>
      <c r="E36" s="729"/>
    </row>
    <row r="37" spans="1:5" x14ac:dyDescent="0.2">
      <c r="A37" s="332" t="s">
        <v>242</v>
      </c>
      <c r="B37" s="334">
        <f>'Income and expenditure '!$J$115</f>
        <v>8319.83</v>
      </c>
      <c r="C37" s="20"/>
      <c r="D37" s="20"/>
      <c r="E37" s="729"/>
    </row>
    <row r="38" spans="1:5" x14ac:dyDescent="0.2">
      <c r="A38" s="332" t="s">
        <v>243</v>
      </c>
      <c r="B38" s="334">
        <v>55028.73</v>
      </c>
      <c r="C38" s="20"/>
      <c r="D38" s="20"/>
      <c r="E38" s="729"/>
    </row>
    <row r="39" spans="1:5" ht="17" thickBot="1" x14ac:dyDescent="0.25">
      <c r="A39" s="328" t="s">
        <v>7</v>
      </c>
      <c r="B39" s="335"/>
      <c r="C39" s="20"/>
      <c r="D39" s="20"/>
      <c r="E39" s="729"/>
    </row>
    <row r="40" spans="1:5" ht="31" thickBot="1" x14ac:dyDescent="0.25">
      <c r="A40" s="336" t="s">
        <v>244</v>
      </c>
      <c r="B40" s="337">
        <f>B36-B37-B38</f>
        <v>1918.6399999999921</v>
      </c>
      <c r="C40" s="20"/>
      <c r="D40" s="20"/>
      <c r="E40" s="729"/>
    </row>
    <row r="41" spans="1:5" x14ac:dyDescent="0.2">
      <c r="A41" s="728"/>
      <c r="B41" s="20"/>
      <c r="C41" s="20"/>
      <c r="D41" s="20"/>
      <c r="E41" s="729"/>
    </row>
    <row r="42" spans="1:5" ht="65" customHeight="1" x14ac:dyDescent="0.2">
      <c r="A42" s="734"/>
      <c r="B42" s="699" t="str">
        <f>'Income and expenditure '!H83</f>
        <v>BUDGET 2020/2021</v>
      </c>
      <c r="C42" s="699" t="str">
        <f>'Income and expenditure '!I83</f>
        <v xml:space="preserve">BUDGET EXPENDED </v>
      </c>
      <c r="D42" s="699" t="str">
        <f>'Income and expenditure '!J83</f>
        <v xml:space="preserve">BUDGET REMAINING </v>
      </c>
      <c r="E42" s="735"/>
    </row>
    <row r="43" spans="1:5" x14ac:dyDescent="0.2">
      <c r="A43" s="736" t="str">
        <f>'Income and expenditure '!G84</f>
        <v>ADMINISTRATION</v>
      </c>
      <c r="B43" s="687"/>
      <c r="C43" s="687"/>
      <c r="D43" s="687"/>
      <c r="E43" s="737"/>
    </row>
    <row r="44" spans="1:5" x14ac:dyDescent="0.2">
      <c r="A44" s="738" t="str">
        <f>'Income and expenditure '!G85</f>
        <v>Clerks Salary &amp; training</v>
      </c>
      <c r="B44" s="4">
        <f>'Income and expenditure '!H85</f>
        <v>3700</v>
      </c>
      <c r="C44" s="4">
        <f>'Income and expenditure '!I85</f>
        <v>7213.83</v>
      </c>
      <c r="D44" s="4">
        <f>'Income and expenditure '!J85</f>
        <v>-3513.83</v>
      </c>
      <c r="E44" s="737"/>
    </row>
    <row r="45" spans="1:5" x14ac:dyDescent="0.2">
      <c r="A45" s="738" t="str">
        <f>'Income and expenditure '!G86</f>
        <v>Post/Tel/Stat/Print Ink/Mileage/misc</v>
      </c>
      <c r="B45" s="4">
        <f>'Income and expenditure '!H86</f>
        <v>250</v>
      </c>
      <c r="C45" s="4">
        <f>'Income and expenditure '!I86</f>
        <v>62.5</v>
      </c>
      <c r="D45" s="4">
        <f>'Income and expenditure '!J86</f>
        <v>187.5</v>
      </c>
      <c r="E45" s="737"/>
    </row>
    <row r="46" spans="1:5" x14ac:dyDescent="0.2">
      <c r="A46" s="738" t="str">
        <f>'Income and expenditure '!G87</f>
        <v>Insurance-Parish Council</v>
      </c>
      <c r="B46" s="4">
        <f>'Income and expenditure '!H87</f>
        <v>380</v>
      </c>
      <c r="C46" s="4">
        <f>'Income and expenditure '!I87</f>
        <v>349.44</v>
      </c>
      <c r="D46" s="4">
        <f>'Income and expenditure '!J87</f>
        <v>30.560000000000002</v>
      </c>
      <c r="E46" s="737"/>
    </row>
    <row r="47" spans="1:5" x14ac:dyDescent="0.2">
      <c r="A47" s="738" t="str">
        <f>'Income and expenditure '!G88</f>
        <v>Audit Fees- Ext &amp; Internal</v>
      </c>
      <c r="B47" s="4">
        <f>'Income and expenditure '!H88</f>
        <v>375</v>
      </c>
      <c r="C47" s="4">
        <f>'Income and expenditure '!I88</f>
        <v>390</v>
      </c>
      <c r="D47" s="4">
        <f>'Income and expenditure '!J88</f>
        <v>-15</v>
      </c>
      <c r="E47" s="737"/>
    </row>
    <row r="48" spans="1:5" x14ac:dyDescent="0.2">
      <c r="A48" s="738" t="str">
        <f>'Income and expenditure '!G89</f>
        <v>CAS (Suff Acre) M’ship</v>
      </c>
      <c r="B48" s="4">
        <f>'Income and expenditure '!H89</f>
        <v>60</v>
      </c>
      <c r="C48" s="4">
        <f>'Income and expenditure '!I89</f>
        <v>0</v>
      </c>
      <c r="D48" s="4">
        <f>'Income and expenditure '!J89</f>
        <v>60</v>
      </c>
      <c r="E48" s="737"/>
    </row>
    <row r="49" spans="1:5" x14ac:dyDescent="0.2">
      <c r="A49" s="738" t="str">
        <f>'Income and expenditure '!G90</f>
        <v>Village Website-Annual fee</v>
      </c>
      <c r="B49" s="4">
        <f>'Income and expenditure '!H90</f>
        <v>60</v>
      </c>
      <c r="C49" s="4">
        <f>'Income and expenditure '!I90</f>
        <v>60</v>
      </c>
      <c r="D49" s="4">
        <f>'Income and expenditure '!J90</f>
        <v>0</v>
      </c>
      <c r="E49" s="737"/>
    </row>
    <row r="50" spans="1:5" x14ac:dyDescent="0.2">
      <c r="A50" s="738" t="str">
        <f>'Income and expenditure '!G91</f>
        <v>PC Website – Annual fee</v>
      </c>
      <c r="B50" s="4">
        <f>'Income and expenditure '!H91</f>
        <v>70</v>
      </c>
      <c r="C50" s="4">
        <f>'Income and expenditure '!I91</f>
        <v>110</v>
      </c>
      <c r="D50" s="4">
        <f>'Income and expenditure '!J91</f>
        <v>-40</v>
      </c>
      <c r="E50" s="737"/>
    </row>
    <row r="51" spans="1:5" x14ac:dyDescent="0.2">
      <c r="A51" s="738" t="str">
        <f>'Income and expenditure '!G92</f>
        <v>Village Hall Hire- (from Reserve)</v>
      </c>
      <c r="B51" s="4">
        <f>'Income and expenditure '!H92</f>
        <v>200</v>
      </c>
      <c r="C51" s="4">
        <f>'Income and expenditure '!I92</f>
        <v>115.1</v>
      </c>
      <c r="D51" s="4">
        <f>'Income and expenditure '!J92</f>
        <v>84.9</v>
      </c>
      <c r="E51" s="737"/>
    </row>
    <row r="52" spans="1:5" x14ac:dyDescent="0.2">
      <c r="A52" s="738" t="str">
        <f>'Income and expenditure '!G93</f>
        <v>Council Advisory Service</v>
      </c>
      <c r="B52" s="4">
        <f>'Income and expenditure '!H93</f>
        <v>180</v>
      </c>
      <c r="C52" s="4">
        <f>'Income and expenditure '!I93</f>
        <v>179.15</v>
      </c>
      <c r="D52" s="4">
        <f>'Income and expenditure '!J93</f>
        <v>0.84999999999999432</v>
      </c>
      <c r="E52" s="737"/>
    </row>
    <row r="53" spans="1:5" x14ac:dyDescent="0.2">
      <c r="A53" s="738" t="str">
        <f>'Income and expenditure '!G94</f>
        <v>Christmas tree</v>
      </c>
      <c r="B53" s="4">
        <f>'Income and expenditure '!H94</f>
        <v>150</v>
      </c>
      <c r="C53" s="4">
        <f>'Income and expenditure '!I94</f>
        <v>150</v>
      </c>
      <c r="D53" s="4">
        <f>'Income and expenditure '!J94</f>
        <v>0</v>
      </c>
      <c r="E53" s="737"/>
    </row>
    <row r="54" spans="1:5" x14ac:dyDescent="0.2">
      <c r="A54" s="738" t="str">
        <f>'Income and expenditure '!G95</f>
        <v>Grass Cutting and Hedging</v>
      </c>
      <c r="B54" s="4">
        <f>'Income and expenditure '!H95</f>
        <v>3510</v>
      </c>
      <c r="C54" s="4">
        <f>'Income and expenditure '!I95</f>
        <v>2863.2000000000003</v>
      </c>
      <c r="D54" s="4">
        <f>'Income and expenditure '!J95</f>
        <v>646.79999999999973</v>
      </c>
      <c r="E54" s="737"/>
    </row>
    <row r="55" spans="1:5" x14ac:dyDescent="0.2">
      <c r="A55" s="738" t="str">
        <f>'Income and expenditure '!G96</f>
        <v>ROSPA Annual Inspection</v>
      </c>
      <c r="B55" s="4">
        <f>'Income and expenditure '!H96</f>
        <v>100</v>
      </c>
      <c r="C55" s="4">
        <f>'Income and expenditure '!I96</f>
        <v>82.2</v>
      </c>
      <c r="D55" s="4">
        <f>'Income and expenditure '!J96</f>
        <v>17.799999999999997</v>
      </c>
      <c r="E55" s="737"/>
    </row>
    <row r="56" spans="1:5" x14ac:dyDescent="0.2">
      <c r="A56" s="738" t="str">
        <f>'Income and expenditure '!G97</f>
        <v>Section 137 – Charity donations</v>
      </c>
      <c r="B56" s="4">
        <f>'Income and expenditure '!H97</f>
        <v>0</v>
      </c>
      <c r="C56" s="4">
        <f>'Income and expenditure '!I97</f>
        <v>0</v>
      </c>
      <c r="D56" s="4">
        <f>'Income and expenditure '!J97</f>
        <v>0</v>
      </c>
      <c r="E56" s="737"/>
    </row>
    <row r="57" spans="1:5" x14ac:dyDescent="0.2">
      <c r="A57" s="738" t="str">
        <f>'Income and expenditure '!G98</f>
        <v>TO CAPITAL RESERVES</v>
      </c>
      <c r="B57" s="4">
        <f>'Income and expenditure '!H98</f>
        <v>0</v>
      </c>
      <c r="C57" s="4">
        <f>'Income and expenditure '!I98</f>
        <v>0</v>
      </c>
      <c r="D57" s="4">
        <f>'Income and expenditure '!J98</f>
        <v>0</v>
      </c>
      <c r="E57" s="737"/>
    </row>
    <row r="58" spans="1:5" x14ac:dyDescent="0.2">
      <c r="A58" s="738" t="str">
        <f>'Income and expenditure '!G99</f>
        <v>Unplanned Expenditure</v>
      </c>
      <c r="B58" s="4">
        <f>'Income and expenditure '!H99</f>
        <v>100</v>
      </c>
      <c r="C58" s="4">
        <f>'Income and expenditure '!I99</f>
        <v>0</v>
      </c>
      <c r="D58" s="4">
        <f>'Income and expenditure '!J99</f>
        <v>0</v>
      </c>
      <c r="E58" s="737"/>
    </row>
    <row r="59" spans="1:5" x14ac:dyDescent="0.2">
      <c r="A59" s="739" t="str">
        <f>'Income and expenditure '!G100</f>
        <v>Total Precept</v>
      </c>
      <c r="B59" s="670">
        <f>'Income and expenditure '!H100</f>
        <v>9135</v>
      </c>
      <c r="C59" s="670">
        <f>'Income and expenditure '!I100</f>
        <v>11575.42</v>
      </c>
      <c r="D59" s="670">
        <f>'Income and expenditure '!J100</f>
        <v>-2540.42</v>
      </c>
      <c r="E59" s="740"/>
    </row>
    <row r="60" spans="1:5" x14ac:dyDescent="0.2">
      <c r="A60" s="739"/>
      <c r="B60" s="701"/>
      <c r="C60" s="670"/>
      <c r="D60" s="670"/>
      <c r="E60" s="740"/>
    </row>
    <row r="61" spans="1:5" x14ac:dyDescent="0.2">
      <c r="A61" s="738" t="str">
        <f>'Income and expenditure '!G101</f>
        <v>PRECEPT REQUEST</v>
      </c>
      <c r="B61" s="4">
        <f>'Income and expenditure '!H101</f>
        <v>9154</v>
      </c>
      <c r="C61" s="4">
        <f>'Income and expenditure '!I101</f>
        <v>0</v>
      </c>
      <c r="D61" s="4">
        <f>'Income and expenditure '!J101</f>
        <v>-3181.4200000000019</v>
      </c>
      <c r="E61" s="737"/>
    </row>
    <row r="62" spans="1:5" x14ac:dyDescent="0.2">
      <c r="A62" s="741" t="str">
        <f>'Income and expenditure '!G102</f>
        <v>RING FENCED RESERVES</v>
      </c>
      <c r="B62" s="700"/>
      <c r="C62" s="700"/>
      <c r="D62" s="700"/>
      <c r="E62" s="742"/>
    </row>
    <row r="63" spans="1:5" x14ac:dyDescent="0.2">
      <c r="A63" s="741"/>
      <c r="B63" s="700"/>
      <c r="C63" s="700"/>
      <c r="D63" s="700"/>
      <c r="E63" s="742"/>
    </row>
    <row r="64" spans="1:5" x14ac:dyDescent="0.2">
      <c r="A64" s="738" t="str">
        <f>'Income and expenditure '!G104</f>
        <v>Unplanned Expenditure</v>
      </c>
      <c r="B64" s="4"/>
      <c r="C64" s="4"/>
      <c r="D64" s="4"/>
      <c r="E64" s="737"/>
    </row>
    <row r="65" spans="1:5" x14ac:dyDescent="0.2">
      <c r="A65" s="738" t="str">
        <f>'Income and expenditure '!G105</f>
        <v>C/F yr end 1/4/2020</v>
      </c>
      <c r="B65" s="4">
        <f>'Income and expenditure '!H105</f>
        <v>2417.4</v>
      </c>
      <c r="C65" s="4">
        <f>'Income and expenditure '!I105</f>
        <v>0</v>
      </c>
      <c r="D65" s="4">
        <f>'Income and expenditure '!J105</f>
        <v>0</v>
      </c>
      <c r="E65" s="737"/>
    </row>
    <row r="66" spans="1:5" x14ac:dyDescent="0.2">
      <c r="A66" s="738" t="str">
        <f>'Income and expenditure '!G106</f>
        <v>Sept 20 credit to reserve from closed Cemetery reserve</v>
      </c>
      <c r="B66" s="4">
        <f>'Income and expenditure '!H106</f>
        <v>6034</v>
      </c>
      <c r="C66" s="4">
        <f>'Income and expenditure '!I106</f>
        <v>0</v>
      </c>
      <c r="D66" s="4">
        <f>'Income and expenditure '!J106</f>
        <v>0</v>
      </c>
      <c r="E66" s="737"/>
    </row>
    <row r="67" spans="1:5" x14ac:dyDescent="0.2">
      <c r="A67" s="738" t="str">
        <f>'Income and expenditure '!G107</f>
        <v xml:space="preserve">Reserve total </v>
      </c>
      <c r="B67" s="4">
        <f>'Income and expenditure '!H107</f>
        <v>8451.4</v>
      </c>
      <c r="C67" s="4">
        <f>'Income and expenditure '!I107</f>
        <v>1508.1</v>
      </c>
      <c r="D67" s="4">
        <f>'Income and expenditure '!J107</f>
        <v>6943.2999999999993</v>
      </c>
      <c r="E67" s="737"/>
    </row>
    <row r="68" spans="1:5" x14ac:dyDescent="0.2">
      <c r="A68" s="738" t="str">
        <f>'Income and expenditure '!G108</f>
        <v>Training Fund - C/F yr end 1/4/2020</v>
      </c>
      <c r="B68" s="4">
        <f>'Income and expenditure '!H108</f>
        <v>438</v>
      </c>
      <c r="C68" s="4">
        <f>'Income and expenditure '!I108</f>
        <v>264</v>
      </c>
      <c r="D68" s="4">
        <f>'Income and expenditure '!J108</f>
        <v>174</v>
      </c>
      <c r="E68" s="737"/>
    </row>
    <row r="69" spans="1:5" x14ac:dyDescent="0.2">
      <c r="A69" s="738" t="str">
        <f>'Income and expenditure '!G109</f>
        <v>Election Fund - C/F yr end 1/4/2020</v>
      </c>
      <c r="B69" s="4">
        <f>'Income and expenditure '!H109</f>
        <v>434.74</v>
      </c>
      <c r="C69" s="4">
        <f>'Income and expenditure '!I109</f>
        <v>0</v>
      </c>
      <c r="D69" s="4">
        <f>'Income and expenditure '!J109</f>
        <v>0</v>
      </c>
      <c r="E69" s="737"/>
    </row>
    <row r="70" spans="1:5" x14ac:dyDescent="0.2">
      <c r="A70" s="738" t="str">
        <f>'Income and expenditure '!G110</f>
        <v>Sept 20 credit to reserve</v>
      </c>
      <c r="B70" s="4">
        <f>'Income and expenditure '!H110</f>
        <v>1000</v>
      </c>
      <c r="C70" s="4">
        <f>'Income and expenditure '!I110</f>
        <v>0</v>
      </c>
      <c r="D70" s="4">
        <f>'Income and expenditure '!J110</f>
        <v>0</v>
      </c>
      <c r="E70" s="737"/>
    </row>
    <row r="71" spans="1:5" x14ac:dyDescent="0.2">
      <c r="A71" s="738" t="str">
        <f>'Income and expenditure '!G111</f>
        <v xml:space="preserve">Reserve total </v>
      </c>
      <c r="B71" s="4">
        <f>'Income and expenditure '!H111</f>
        <v>1434.74</v>
      </c>
      <c r="C71" s="4">
        <f>'Income and expenditure '!I111</f>
        <v>898.65</v>
      </c>
      <c r="D71" s="4">
        <f>'Income and expenditure '!J111</f>
        <v>536.09</v>
      </c>
      <c r="E71" s="737"/>
    </row>
    <row r="72" spans="1:5" x14ac:dyDescent="0.2">
      <c r="A72" s="738" t="str">
        <f>'Income and expenditure '!G112</f>
        <v>Grants Fund -C/F yr end 1/4/2020</v>
      </c>
      <c r="B72" s="4">
        <f>'Income and expenditure '!H112</f>
        <v>600</v>
      </c>
      <c r="C72" s="4">
        <f>'Income and expenditure '!I112</f>
        <v>0</v>
      </c>
      <c r="D72" s="4">
        <f>'Income and expenditure '!J112</f>
        <v>600</v>
      </c>
      <c r="E72" s="737"/>
    </row>
    <row r="73" spans="1:5" x14ac:dyDescent="0.2">
      <c r="A73" s="738" t="str">
        <f>'Income and expenditure '!G113</f>
        <v>Neighbourhood Plan - C/F yr end 1/4/2020</v>
      </c>
      <c r="B73" s="4">
        <f>'Income and expenditure '!H113</f>
        <v>186.44</v>
      </c>
      <c r="C73" s="4">
        <f>'Income and expenditure '!I113</f>
        <v>120</v>
      </c>
      <c r="D73" s="4">
        <f>'Income and expenditure '!J113</f>
        <v>66.44</v>
      </c>
      <c r="E73" s="737"/>
    </row>
    <row r="74" spans="1:5" x14ac:dyDescent="0.2">
      <c r="A74" s="738"/>
      <c r="B74" s="4"/>
      <c r="C74" s="4"/>
      <c r="D74" s="4"/>
      <c r="E74" s="737"/>
    </row>
    <row r="75" spans="1:5" x14ac:dyDescent="0.2">
      <c r="A75" s="743" t="str">
        <f>'Income and expenditure '!G115</f>
        <v>Total Reserves Total</v>
      </c>
      <c r="B75" s="688"/>
      <c r="C75" s="688">
        <f>SUM(C65:C74)</f>
        <v>2790.75</v>
      </c>
      <c r="D75" s="688">
        <f>'Income and expenditure '!J115</f>
        <v>8319.83</v>
      </c>
      <c r="E75" s="744"/>
    </row>
    <row r="76" spans="1:5" x14ac:dyDescent="0.2">
      <c r="A76" s="728"/>
      <c r="B76" s="20"/>
      <c r="C76" s="745"/>
      <c r="D76" s="20"/>
      <c r="E76" s="729"/>
    </row>
    <row r="77" spans="1:5" x14ac:dyDescent="0.2">
      <c r="A77" s="728"/>
      <c r="B77" s="20"/>
      <c r="C77" s="20"/>
      <c r="D77" s="20"/>
      <c r="E77" s="729"/>
    </row>
    <row r="78" spans="1:5" ht="19" thickBot="1" x14ac:dyDescent="0.25">
      <c r="A78" s="746" t="s">
        <v>197</v>
      </c>
      <c r="B78" s="20"/>
      <c r="C78" s="20"/>
      <c r="D78" s="20"/>
      <c r="E78" s="729"/>
    </row>
    <row r="79" spans="1:5" ht="31" thickBot="1" x14ac:dyDescent="0.25">
      <c r="A79" s="692" t="s">
        <v>245</v>
      </c>
      <c r="B79" s="691">
        <v>31510.95</v>
      </c>
      <c r="C79" s="20"/>
      <c r="D79" s="20"/>
      <c r="E79" s="729"/>
    </row>
    <row r="80" spans="1:5" ht="17" thickBot="1" x14ac:dyDescent="0.25">
      <c r="A80" s="322" t="s">
        <v>246</v>
      </c>
      <c r="B80" s="338">
        <v>16232.91</v>
      </c>
      <c r="C80" s="20"/>
      <c r="D80" s="20"/>
      <c r="E80" s="729"/>
    </row>
    <row r="81" spans="1:5" ht="17" thickBot="1" x14ac:dyDescent="0.25">
      <c r="A81" s="322" t="s">
        <v>214</v>
      </c>
      <c r="B81" s="268">
        <v>550.15</v>
      </c>
      <c r="C81" s="20"/>
      <c r="D81" s="20"/>
      <c r="E81" s="729"/>
    </row>
    <row r="82" spans="1:5" ht="17" thickBot="1" x14ac:dyDescent="0.25">
      <c r="A82" s="689" t="s">
        <v>247</v>
      </c>
      <c r="B82" s="690">
        <v>48294.01</v>
      </c>
      <c r="C82" s="20"/>
      <c r="D82" s="20"/>
      <c r="E82" s="729"/>
    </row>
    <row r="83" spans="1:5" ht="35" thickBot="1" x14ac:dyDescent="0.25">
      <c r="A83" s="693" t="s">
        <v>198</v>
      </c>
      <c r="B83" s="694">
        <v>5407.11</v>
      </c>
      <c r="C83" s="20"/>
      <c r="D83" s="20"/>
      <c r="E83" s="729"/>
    </row>
    <row r="84" spans="1:5" ht="17" thickBot="1" x14ac:dyDescent="0.25">
      <c r="A84" s="695" t="s">
        <v>208</v>
      </c>
      <c r="B84" s="696">
        <v>1000</v>
      </c>
      <c r="C84" s="20"/>
      <c r="D84" s="20"/>
      <c r="E84" s="729"/>
    </row>
    <row r="85" spans="1:5" ht="18" thickBot="1" x14ac:dyDescent="0.25">
      <c r="A85" s="697" t="s">
        <v>209</v>
      </c>
      <c r="B85" s="698">
        <v>327.61</v>
      </c>
      <c r="C85" s="20"/>
      <c r="D85" s="20"/>
      <c r="E85" s="729"/>
    </row>
    <row r="86" spans="1:5" ht="19" thickBot="1" x14ac:dyDescent="0.25">
      <c r="A86" s="339" t="s">
        <v>211</v>
      </c>
      <c r="B86" s="340">
        <f>B79+B80+B81+B83+B84+B85</f>
        <v>55028.73</v>
      </c>
      <c r="C86" s="20"/>
      <c r="D86" s="20"/>
      <c r="E86" s="729"/>
    </row>
    <row r="87" spans="1:5" ht="17" thickBot="1" x14ac:dyDescent="0.25">
      <c r="A87" s="747"/>
      <c r="B87" s="748"/>
      <c r="C87" s="748"/>
      <c r="D87" s="748"/>
      <c r="E87" s="749"/>
    </row>
  </sheetData>
  <mergeCells count="16">
    <mergeCell ref="A1:E1"/>
    <mergeCell ref="A2:E2"/>
    <mergeCell ref="B30:B31"/>
    <mergeCell ref="A33:A34"/>
    <mergeCell ref="B33:B34"/>
    <mergeCell ref="A11:D11"/>
    <mergeCell ref="A12:D12"/>
    <mergeCell ref="E11:E12"/>
    <mergeCell ref="B26:B27"/>
    <mergeCell ref="C26:C27"/>
    <mergeCell ref="D26:D27"/>
    <mergeCell ref="A3:E3"/>
    <mergeCell ref="A4:A6"/>
    <mergeCell ref="B4:B6"/>
    <mergeCell ref="D4:D6"/>
    <mergeCell ref="E4:E6"/>
  </mergeCells>
  <pageMargins left="0.7" right="0.7" top="0.75" bottom="0.75" header="0.3" footer="0.3"/>
  <pageSetup paperSize="9" scale="65" fitToHeight="2" orientation="portrait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B5C80-8BEC-7049-853F-69E10F6699F0}">
  <sheetPr>
    <pageSetUpPr fitToPage="1"/>
  </sheetPr>
  <dimension ref="A1:AO222"/>
  <sheetViews>
    <sheetView topLeftCell="A37" workbookViewId="0">
      <pane ySplit="2100" topLeftCell="A114" activePane="bottomLeft"/>
      <selection activeCell="B43" sqref="B43"/>
      <selection pane="bottomLeft" activeCell="B121" sqref="B121"/>
    </sheetView>
  </sheetViews>
  <sheetFormatPr baseColWidth="10" defaultRowHeight="19" x14ac:dyDescent="0.25"/>
  <cols>
    <col min="1" max="1" width="21.5" style="431" customWidth="1"/>
    <col min="2" max="2" width="37" style="5" customWidth="1"/>
    <col min="3" max="3" width="25.5" customWidth="1"/>
    <col min="4" max="4" width="25" customWidth="1"/>
    <col min="5" max="5" width="18.33203125" style="3" customWidth="1"/>
    <col min="6" max="6" width="14.1640625" style="405" customWidth="1"/>
    <col min="7" max="7" width="33.1640625" style="116" customWidth="1"/>
    <col min="8" max="8" width="15.33203125" customWidth="1"/>
    <col min="9" max="9" width="16" customWidth="1"/>
    <col min="10" max="10" width="16.33203125" customWidth="1"/>
    <col min="11" max="11" width="11" customWidth="1"/>
    <col min="12" max="12" width="13.6640625" customWidth="1"/>
    <col min="13" max="15" width="13.6640625" style="15" customWidth="1"/>
    <col min="16" max="16" width="17.1640625" style="15" customWidth="1"/>
    <col min="17" max="20" width="13.6640625" style="15" customWidth="1"/>
    <col min="21" max="21" width="13.6640625" style="241" customWidth="1"/>
    <col min="22" max="22" width="13.6640625" customWidth="1"/>
    <col min="23" max="26" width="11" customWidth="1"/>
    <col min="27" max="27" width="8.5" customWidth="1"/>
    <col min="28" max="28" width="14" style="227" customWidth="1"/>
    <col min="29" max="31" width="16.6640625" customWidth="1"/>
    <col min="32" max="32" width="16.6640625" style="216" customWidth="1"/>
    <col min="33" max="34" width="16.6640625" customWidth="1"/>
    <col min="35" max="35" width="10.83203125" customWidth="1"/>
    <col min="36" max="36" width="16.5" customWidth="1"/>
    <col min="37" max="37" width="10.83203125" customWidth="1"/>
    <col min="38" max="38" width="13.1640625" customWidth="1"/>
    <col min="39" max="39" width="19.5" customWidth="1"/>
    <col min="40" max="40" width="14.5" style="19" customWidth="1"/>
  </cols>
  <sheetData>
    <row r="1" spans="1:40" ht="58" customHeight="1" thickBot="1" x14ac:dyDescent="0.25">
      <c r="A1" s="840" t="s">
        <v>358</v>
      </c>
      <c r="B1" s="841"/>
      <c r="C1" s="841"/>
      <c r="D1" s="841"/>
      <c r="E1" s="842"/>
    </row>
    <row r="2" spans="1:40" ht="50" customHeight="1" x14ac:dyDescent="0.2">
      <c r="A2" s="641" t="s">
        <v>324</v>
      </c>
      <c r="B2" s="642"/>
      <c r="C2" s="643"/>
      <c r="D2" s="643"/>
      <c r="E2" s="644">
        <v>49620.02</v>
      </c>
    </row>
    <row r="3" spans="1:40" ht="16" x14ac:dyDescent="0.2">
      <c r="A3" s="483" t="s">
        <v>12</v>
      </c>
      <c r="B3" s="515"/>
      <c r="C3" s="485"/>
      <c r="D3" s="485" t="s">
        <v>1</v>
      </c>
      <c r="E3" s="628" t="s">
        <v>46</v>
      </c>
    </row>
    <row r="4" spans="1:40" ht="16" x14ac:dyDescent="0.2">
      <c r="A4" s="514">
        <v>43950</v>
      </c>
      <c r="B4" s="515" t="s">
        <v>125</v>
      </c>
      <c r="C4" s="107" t="s">
        <v>9</v>
      </c>
      <c r="D4" s="107" t="s">
        <v>181</v>
      </c>
      <c r="E4" s="516">
        <v>4577.3500000000004</v>
      </c>
    </row>
    <row r="5" spans="1:40" ht="16" x14ac:dyDescent="0.2">
      <c r="A5" s="514">
        <v>44104</v>
      </c>
      <c r="B5" s="515">
        <v>17692</v>
      </c>
      <c r="C5" s="107" t="s">
        <v>9</v>
      </c>
      <c r="D5" s="107" t="s">
        <v>181</v>
      </c>
      <c r="E5" s="516">
        <v>4577.3500000000004</v>
      </c>
    </row>
    <row r="6" spans="1:40" s="12" customFormat="1" ht="50" customHeight="1" thickBot="1" x14ac:dyDescent="0.25">
      <c r="A6" s="629" t="s">
        <v>310</v>
      </c>
      <c r="B6" s="630"/>
      <c r="C6" s="631"/>
      <c r="D6" s="631"/>
      <c r="E6" s="632">
        <f>E4+E5</f>
        <v>9154.7000000000007</v>
      </c>
      <c r="F6" s="508"/>
      <c r="G6" s="509"/>
      <c r="M6" s="510"/>
      <c r="N6" s="510"/>
      <c r="O6" s="510"/>
      <c r="P6" s="510"/>
      <c r="Q6" s="510"/>
      <c r="R6" s="510"/>
      <c r="S6" s="510"/>
      <c r="T6" s="510"/>
      <c r="U6" s="511"/>
      <c r="AB6" s="512"/>
      <c r="AF6" s="513"/>
      <c r="AN6" s="21"/>
    </row>
    <row r="7" spans="1:40" ht="18" x14ac:dyDescent="0.2">
      <c r="A7" s="633">
        <v>43949</v>
      </c>
      <c r="B7" s="634" t="s">
        <v>124</v>
      </c>
      <c r="C7" s="635" t="s">
        <v>9</v>
      </c>
      <c r="D7" s="635" t="s">
        <v>127</v>
      </c>
      <c r="E7" s="636">
        <v>16232.91</v>
      </c>
    </row>
    <row r="8" spans="1:40" ht="16" x14ac:dyDescent="0.2">
      <c r="A8" s="497">
        <v>43979</v>
      </c>
      <c r="B8" s="504">
        <v>30441102</v>
      </c>
      <c r="C8" s="489" t="s">
        <v>126</v>
      </c>
      <c r="D8" s="255" t="s">
        <v>130</v>
      </c>
      <c r="E8" s="498">
        <v>1000</v>
      </c>
    </row>
    <row r="9" spans="1:40" ht="16" x14ac:dyDescent="0.2">
      <c r="A9" s="497">
        <v>44007</v>
      </c>
      <c r="B9" s="463" t="s">
        <v>128</v>
      </c>
      <c r="C9" s="255" t="s">
        <v>11</v>
      </c>
      <c r="D9" s="255" t="s">
        <v>129</v>
      </c>
      <c r="E9" s="498">
        <v>1646.66</v>
      </c>
    </row>
    <row r="10" spans="1:40" ht="16" x14ac:dyDescent="0.2">
      <c r="A10" s="497">
        <v>44119</v>
      </c>
      <c r="B10" s="463">
        <v>167</v>
      </c>
      <c r="C10" s="255" t="s">
        <v>176</v>
      </c>
      <c r="D10" s="255" t="s">
        <v>178</v>
      </c>
      <c r="E10" s="498">
        <v>120</v>
      </c>
    </row>
    <row r="11" spans="1:40" ht="16" x14ac:dyDescent="0.2">
      <c r="A11" s="497">
        <v>44119</v>
      </c>
      <c r="B11" s="463">
        <v>168</v>
      </c>
      <c r="C11" s="255" t="s">
        <v>176</v>
      </c>
      <c r="D11" s="255" t="s">
        <v>177</v>
      </c>
      <c r="E11" s="498">
        <v>150</v>
      </c>
    </row>
    <row r="12" spans="1:40" ht="16" x14ac:dyDescent="0.2">
      <c r="A12" s="497">
        <v>44120</v>
      </c>
      <c r="B12" s="490">
        <v>18199</v>
      </c>
      <c r="C12" s="255" t="s">
        <v>179</v>
      </c>
      <c r="D12" s="255" t="s">
        <v>180</v>
      </c>
      <c r="E12" s="462">
        <v>550.15</v>
      </c>
    </row>
    <row r="13" spans="1:40" ht="16" x14ac:dyDescent="0.2">
      <c r="A13" s="497">
        <v>44258</v>
      </c>
      <c r="B13" s="461"/>
      <c r="C13" s="255" t="s">
        <v>224</v>
      </c>
      <c r="D13" s="255" t="s">
        <v>225</v>
      </c>
      <c r="E13" s="462">
        <v>255</v>
      </c>
    </row>
    <row r="14" spans="1:40" ht="16" x14ac:dyDescent="0.2">
      <c r="A14" s="793">
        <v>44286</v>
      </c>
      <c r="B14" s="255" t="s">
        <v>133</v>
      </c>
      <c r="C14" s="358" t="s">
        <v>361</v>
      </c>
      <c r="D14" s="255" t="s">
        <v>360</v>
      </c>
      <c r="E14" s="255">
        <v>15.46</v>
      </c>
    </row>
    <row r="15" spans="1:40" ht="16" x14ac:dyDescent="0.2">
      <c r="A15" s="505" t="s">
        <v>55</v>
      </c>
      <c r="B15" s="463"/>
      <c r="C15" s="491"/>
      <c r="D15" s="491"/>
      <c r="E15" s="794">
        <f>SUM(E7:E14)</f>
        <v>19970.18</v>
      </c>
    </row>
    <row r="16" spans="1:40" ht="14" customHeight="1" x14ac:dyDescent="0.2">
      <c r="A16" s="505"/>
      <c r="B16" s="463"/>
      <c r="C16" s="255"/>
      <c r="D16" s="255"/>
      <c r="E16" s="356"/>
    </row>
    <row r="17" spans="1:6" ht="16" hidden="1" x14ac:dyDescent="0.2">
      <c r="A17" s="499" t="s">
        <v>54</v>
      </c>
      <c r="B17" s="492">
        <v>43990</v>
      </c>
      <c r="C17" s="255"/>
      <c r="D17" s="255"/>
      <c r="E17" s="356">
        <v>3.22</v>
      </c>
    </row>
    <row r="18" spans="1:6" ht="16" hidden="1" x14ac:dyDescent="0.2">
      <c r="A18" s="499" t="s">
        <v>51</v>
      </c>
      <c r="B18" s="492">
        <v>44081</v>
      </c>
      <c r="C18" s="255"/>
      <c r="D18" s="255"/>
      <c r="E18" s="356">
        <v>1.66</v>
      </c>
    </row>
    <row r="19" spans="1:6" ht="16" hidden="1" x14ac:dyDescent="0.2">
      <c r="A19" s="499" t="s">
        <v>52</v>
      </c>
      <c r="B19" s="492">
        <v>44172</v>
      </c>
      <c r="C19" s="255"/>
      <c r="D19" s="255"/>
      <c r="E19" s="356">
        <v>0.3</v>
      </c>
    </row>
    <row r="20" spans="1:6" ht="16" hidden="1" x14ac:dyDescent="0.2">
      <c r="A20" s="499" t="s">
        <v>53</v>
      </c>
      <c r="B20" s="492">
        <v>44263</v>
      </c>
      <c r="C20" s="255"/>
      <c r="D20" s="255"/>
      <c r="E20" s="356">
        <v>0.3</v>
      </c>
    </row>
    <row r="21" spans="1:6" ht="16" x14ac:dyDescent="0.2">
      <c r="A21" s="505" t="s">
        <v>49</v>
      </c>
      <c r="B21" s="480"/>
      <c r="C21" s="256"/>
      <c r="D21" s="256"/>
      <c r="E21" s="795">
        <f>SUM(E17:E20)</f>
        <v>5.4799999999999995</v>
      </c>
      <c r="F21" s="727"/>
    </row>
    <row r="22" spans="1:6" ht="17" thickBot="1" x14ac:dyDescent="0.25">
      <c r="A22" s="501"/>
      <c r="B22" s="502"/>
      <c r="C22" s="503"/>
      <c r="D22" s="503"/>
      <c r="E22" s="506"/>
    </row>
    <row r="23" spans="1:6" ht="16" x14ac:dyDescent="0.2">
      <c r="A23" s="493" t="s">
        <v>317</v>
      </c>
      <c r="B23" s="494"/>
      <c r="C23" s="495"/>
      <c r="D23" s="495"/>
      <c r="E23" s="496"/>
    </row>
    <row r="24" spans="1:6" ht="16" x14ac:dyDescent="0.2">
      <c r="A24" s="497" t="s">
        <v>316</v>
      </c>
      <c r="B24" s="461"/>
      <c r="C24" s="255"/>
      <c r="D24" s="255"/>
      <c r="E24" s="507">
        <f>E7+E12</f>
        <v>16783.060000000001</v>
      </c>
    </row>
    <row r="25" spans="1:6" ht="16" x14ac:dyDescent="0.2">
      <c r="A25" s="497" t="s">
        <v>309</v>
      </c>
      <c r="B25" s="463"/>
      <c r="C25" s="255"/>
      <c r="D25" s="255"/>
      <c r="E25" s="507">
        <f>E8+E9+E10+E11+E13+E14</f>
        <v>3187.12</v>
      </c>
    </row>
    <row r="26" spans="1:6" ht="16" x14ac:dyDescent="0.2">
      <c r="A26" s="499" t="s">
        <v>315</v>
      </c>
      <c r="B26" s="480"/>
      <c r="C26" s="256"/>
      <c r="D26" s="256"/>
      <c r="E26" s="500">
        <f>E21</f>
        <v>5.4799999999999995</v>
      </c>
    </row>
    <row r="27" spans="1:6" ht="50" customHeight="1" thickBot="1" x14ac:dyDescent="0.25">
      <c r="A27" s="637" t="s">
        <v>318</v>
      </c>
      <c r="B27" s="638"/>
      <c r="C27" s="639"/>
      <c r="D27" s="639"/>
      <c r="E27" s="640">
        <f>SUM(E24:E26)</f>
        <v>19975.66</v>
      </c>
    </row>
    <row r="29" spans="1:6" s="8" customFormat="1" ht="16" x14ac:dyDescent="0.2">
      <c r="A29" s="228" t="s">
        <v>171</v>
      </c>
      <c r="B29" s="228" t="s">
        <v>99</v>
      </c>
      <c r="C29" s="599" t="s">
        <v>90</v>
      </c>
      <c r="D29" s="391">
        <v>1463.54</v>
      </c>
      <c r="E29" s="228">
        <f t="shared" ref="E29:E39" si="0">D29</f>
        <v>1463.54</v>
      </c>
    </row>
    <row r="30" spans="1:6" s="8" customFormat="1" ht="16" x14ac:dyDescent="0.2">
      <c r="A30" s="228" t="s">
        <v>81</v>
      </c>
      <c r="B30" s="228" t="s">
        <v>99</v>
      </c>
      <c r="C30" s="599" t="s">
        <v>90</v>
      </c>
      <c r="D30" s="391">
        <v>145.03</v>
      </c>
      <c r="E30" s="391">
        <f t="shared" si="0"/>
        <v>145.03</v>
      </c>
    </row>
    <row r="31" spans="1:6" s="8" customFormat="1" ht="16" x14ac:dyDescent="0.2">
      <c r="A31" s="228" t="s">
        <v>81</v>
      </c>
      <c r="B31" s="228" t="s">
        <v>99</v>
      </c>
      <c r="C31" s="599" t="s">
        <v>90</v>
      </c>
      <c r="D31" s="391">
        <v>179.21</v>
      </c>
      <c r="E31" s="228">
        <f t="shared" si="0"/>
        <v>179.21</v>
      </c>
    </row>
    <row r="32" spans="1:6" s="8" customFormat="1" ht="16" x14ac:dyDescent="0.2">
      <c r="A32" s="228" t="s">
        <v>81</v>
      </c>
      <c r="B32" s="228" t="s">
        <v>99</v>
      </c>
      <c r="C32" s="599" t="s">
        <v>90</v>
      </c>
      <c r="D32" s="391">
        <v>437.05</v>
      </c>
      <c r="E32" s="228">
        <f t="shared" si="0"/>
        <v>437.05</v>
      </c>
    </row>
    <row r="33" spans="1:6" s="8" customFormat="1" ht="16" x14ac:dyDescent="0.2">
      <c r="A33" s="228" t="s">
        <v>81</v>
      </c>
      <c r="B33" s="228" t="s">
        <v>99</v>
      </c>
      <c r="C33" s="599" t="s">
        <v>90</v>
      </c>
      <c r="D33" s="391">
        <v>149.34</v>
      </c>
      <c r="E33" s="228">
        <f t="shared" si="0"/>
        <v>149.34</v>
      </c>
    </row>
    <row r="34" spans="1:6" s="8" customFormat="1" ht="16" x14ac:dyDescent="0.2">
      <c r="A34" s="228" t="s">
        <v>81</v>
      </c>
      <c r="B34" s="228" t="s">
        <v>99</v>
      </c>
      <c r="C34" s="599" t="s">
        <v>90</v>
      </c>
      <c r="D34" s="391">
        <v>209.08</v>
      </c>
      <c r="E34" s="228">
        <f t="shared" si="0"/>
        <v>209.08</v>
      </c>
    </row>
    <row r="35" spans="1:6" s="8" customFormat="1" ht="16" x14ac:dyDescent="0.2">
      <c r="A35" s="228" t="s">
        <v>81</v>
      </c>
      <c r="B35" s="228" t="s">
        <v>99</v>
      </c>
      <c r="C35" s="599" t="s">
        <v>90</v>
      </c>
      <c r="D35" s="391">
        <v>597.37</v>
      </c>
      <c r="E35" s="391">
        <f t="shared" si="0"/>
        <v>597.37</v>
      </c>
    </row>
    <row r="36" spans="1:6" s="8" customFormat="1" ht="16" x14ac:dyDescent="0.2">
      <c r="A36" s="228" t="s">
        <v>81</v>
      </c>
      <c r="B36" s="228" t="s">
        <v>99</v>
      </c>
      <c r="C36" s="599" t="s">
        <v>90</v>
      </c>
      <c r="D36" s="391">
        <v>477.89</v>
      </c>
      <c r="E36" s="391">
        <f t="shared" si="0"/>
        <v>477.89</v>
      </c>
    </row>
    <row r="37" spans="1:6" s="8" customFormat="1" ht="16" x14ac:dyDescent="0.2">
      <c r="A37" s="228" t="s">
        <v>171</v>
      </c>
      <c r="B37" s="228" t="s">
        <v>99</v>
      </c>
      <c r="C37" s="599" t="s">
        <v>90</v>
      </c>
      <c r="D37" s="391">
        <v>975.68</v>
      </c>
      <c r="E37" s="228">
        <f t="shared" si="0"/>
        <v>975.68</v>
      </c>
    </row>
    <row r="38" spans="1:6" s="8" customFormat="1" ht="16" x14ac:dyDescent="0.2">
      <c r="A38" s="228" t="s">
        <v>171</v>
      </c>
      <c r="B38" s="228" t="s">
        <v>99</v>
      </c>
      <c r="C38" s="599" t="s">
        <v>90</v>
      </c>
      <c r="D38" s="228">
        <v>896.05</v>
      </c>
      <c r="E38" s="228">
        <f t="shared" si="0"/>
        <v>896.05</v>
      </c>
    </row>
    <row r="39" spans="1:6" s="8" customFormat="1" ht="16" x14ac:dyDescent="0.2">
      <c r="A39" s="228" t="s">
        <v>171</v>
      </c>
      <c r="B39" s="228" t="s">
        <v>99</v>
      </c>
      <c r="C39" s="599" t="s">
        <v>90</v>
      </c>
      <c r="D39" s="391">
        <v>318.58999999999997</v>
      </c>
      <c r="E39" s="228">
        <f t="shared" si="0"/>
        <v>318.58999999999997</v>
      </c>
    </row>
    <row r="40" spans="1:6" s="8" customFormat="1" ht="16" x14ac:dyDescent="0.2">
      <c r="A40" s="228" t="s">
        <v>172</v>
      </c>
      <c r="B40" s="228" t="s">
        <v>173</v>
      </c>
      <c r="C40" s="599" t="s">
        <v>90</v>
      </c>
      <c r="D40" s="228"/>
      <c r="E40" s="674">
        <v>650</v>
      </c>
      <c r="F40" s="80"/>
    </row>
    <row r="41" spans="1:6" s="8" customFormat="1" ht="16" x14ac:dyDescent="0.2">
      <c r="A41" s="228" t="s">
        <v>172</v>
      </c>
      <c r="B41" s="228" t="s">
        <v>187</v>
      </c>
      <c r="C41" s="599" t="s">
        <v>90</v>
      </c>
      <c r="D41" s="228"/>
      <c r="E41" s="674">
        <v>65</v>
      </c>
      <c r="F41" s="80"/>
    </row>
    <row r="42" spans="1:6" s="8" customFormat="1" ht="16" x14ac:dyDescent="0.2">
      <c r="A42" s="228" t="s">
        <v>172</v>
      </c>
      <c r="B42" s="675" t="s">
        <v>228</v>
      </c>
      <c r="C42" s="599" t="s">
        <v>90</v>
      </c>
      <c r="D42" s="228"/>
      <c r="E42" s="674">
        <v>325</v>
      </c>
      <c r="F42" s="569"/>
    </row>
    <row r="43" spans="1:6" s="8" customFormat="1" ht="16" x14ac:dyDescent="0.2">
      <c r="A43" s="676" t="s">
        <v>172</v>
      </c>
      <c r="B43" s="677" t="s">
        <v>229</v>
      </c>
      <c r="C43" s="599" t="s">
        <v>90</v>
      </c>
      <c r="D43" s="228"/>
      <c r="E43" s="678">
        <v>325</v>
      </c>
      <c r="F43" s="229"/>
    </row>
    <row r="44" spans="1:6" x14ac:dyDescent="0.25">
      <c r="A44" s="600"/>
      <c r="B44" s="601"/>
      <c r="C44" s="602"/>
      <c r="D44" s="602"/>
      <c r="E44" s="603"/>
    </row>
    <row r="45" spans="1:6" ht="50" customHeight="1" x14ac:dyDescent="0.2">
      <c r="A45" s="645" t="s">
        <v>325</v>
      </c>
      <c r="B45" s="646"/>
      <c r="C45" s="647"/>
      <c r="D45" s="647"/>
      <c r="E45" s="648">
        <f>SUM(E29:E44)</f>
        <v>7213.83</v>
      </c>
    </row>
    <row r="49" spans="1:40" ht="31" x14ac:dyDescent="0.2">
      <c r="A49" s="604" t="s">
        <v>0</v>
      </c>
      <c r="B49" s="604" t="s">
        <v>1</v>
      </c>
      <c r="C49" s="604" t="s">
        <v>80</v>
      </c>
      <c r="D49" s="604"/>
      <c r="E49" s="605" t="s">
        <v>21</v>
      </c>
      <c r="F49" s="519"/>
      <c r="G49"/>
      <c r="L49" s="15"/>
      <c r="T49" s="241"/>
      <c r="U49"/>
      <c r="AA49" s="227"/>
      <c r="AB49"/>
      <c r="AE49" s="216"/>
      <c r="AF49"/>
      <c r="AM49" s="19"/>
      <c r="AN49"/>
    </row>
    <row r="50" spans="1:40" s="2" customFormat="1" ht="21" x14ac:dyDescent="0.25">
      <c r="A50" s="160" t="s">
        <v>94</v>
      </c>
      <c r="B50" s="160" t="s">
        <v>95</v>
      </c>
      <c r="C50" s="606" t="s">
        <v>96</v>
      </c>
      <c r="D50" s="160"/>
      <c r="E50" s="607">
        <f>95.92+19.18</f>
        <v>115.1</v>
      </c>
      <c r="F50" s="80"/>
    </row>
    <row r="51" spans="1:40" s="442" customFormat="1" ht="21" x14ac:dyDescent="0.25">
      <c r="A51" s="160" t="s">
        <v>120</v>
      </c>
      <c r="B51" s="160" t="s">
        <v>121</v>
      </c>
      <c r="C51" s="606" t="s">
        <v>154</v>
      </c>
      <c r="D51" s="160"/>
      <c r="E51" s="608">
        <v>312</v>
      </c>
      <c r="F51" s="80"/>
    </row>
    <row r="52" spans="1:40" s="8" customFormat="1" ht="16" x14ac:dyDescent="0.2">
      <c r="A52" s="160" t="s">
        <v>147</v>
      </c>
      <c r="B52" s="160" t="s">
        <v>148</v>
      </c>
      <c r="C52" s="606" t="s">
        <v>90</v>
      </c>
      <c r="D52" s="160"/>
      <c r="E52" s="609">
        <v>56.25</v>
      </c>
      <c r="F52" s="80"/>
    </row>
    <row r="53" spans="1:40" s="8" customFormat="1" ht="16" x14ac:dyDescent="0.2">
      <c r="A53" s="610" t="s">
        <v>254</v>
      </c>
      <c r="B53" s="611" t="s">
        <v>253</v>
      </c>
      <c r="C53" s="612"/>
      <c r="D53" s="160"/>
      <c r="E53" s="613">
        <f>12.5*5</f>
        <v>62.5</v>
      </c>
      <c r="F53" s="80"/>
    </row>
    <row r="54" spans="1:40" s="8" customFormat="1" ht="16" x14ac:dyDescent="0.2">
      <c r="A54" s="160" t="s">
        <v>139</v>
      </c>
      <c r="B54" s="160" t="s">
        <v>140</v>
      </c>
      <c r="C54" s="606" t="s">
        <v>154</v>
      </c>
      <c r="D54" s="160"/>
      <c r="E54" s="609">
        <v>81.599999999999994</v>
      </c>
      <c r="F54" s="80"/>
    </row>
    <row r="55" spans="1:40" s="8" customFormat="1" ht="16" x14ac:dyDescent="0.2">
      <c r="A55" s="160" t="s">
        <v>143</v>
      </c>
      <c r="B55" s="160" t="s">
        <v>142</v>
      </c>
      <c r="C55" s="606" t="s">
        <v>90</v>
      </c>
      <c r="D55" s="160"/>
      <c r="E55" s="609">
        <v>60</v>
      </c>
      <c r="F55" s="80"/>
    </row>
    <row r="56" spans="1:40" s="8" customFormat="1" ht="16" x14ac:dyDescent="0.2">
      <c r="A56" s="160" t="s">
        <v>8</v>
      </c>
      <c r="B56" s="160" t="s">
        <v>89</v>
      </c>
      <c r="C56" s="606" t="s">
        <v>154</v>
      </c>
      <c r="D56" s="160"/>
      <c r="E56" s="608">
        <v>90.98</v>
      </c>
      <c r="F56" s="80"/>
    </row>
    <row r="57" spans="1:40" s="8" customFormat="1" ht="16" x14ac:dyDescent="0.2">
      <c r="A57" s="160" t="s">
        <v>84</v>
      </c>
      <c r="B57" s="160" t="s">
        <v>85</v>
      </c>
      <c r="C57" s="606" t="s">
        <v>154</v>
      </c>
      <c r="D57" s="616"/>
      <c r="E57" s="608">
        <v>60</v>
      </c>
      <c r="F57" s="80"/>
    </row>
    <row r="58" spans="1:40" s="8" customFormat="1" ht="16" x14ac:dyDescent="0.2">
      <c r="A58" s="160" t="s">
        <v>84</v>
      </c>
      <c r="B58" s="160" t="s">
        <v>146</v>
      </c>
      <c r="C58" s="606" t="s">
        <v>154</v>
      </c>
      <c r="D58" s="160"/>
      <c r="E58" s="609">
        <v>175.61</v>
      </c>
      <c r="F58" s="80"/>
    </row>
    <row r="59" spans="1:40" s="8" customFormat="1" ht="16" x14ac:dyDescent="0.2">
      <c r="A59" s="160" t="s">
        <v>91</v>
      </c>
      <c r="B59" s="160" t="s">
        <v>92</v>
      </c>
      <c r="C59" s="606" t="s">
        <v>93</v>
      </c>
      <c r="D59" s="160"/>
      <c r="E59" s="608">
        <v>60</v>
      </c>
      <c r="F59" s="80"/>
    </row>
    <row r="60" spans="1:40" s="8" customFormat="1" ht="16" x14ac:dyDescent="0.2">
      <c r="A60" s="160" t="s">
        <v>115</v>
      </c>
      <c r="B60" s="160" t="s">
        <v>113</v>
      </c>
      <c r="C60" s="606" t="s">
        <v>155</v>
      </c>
      <c r="D60" s="160"/>
      <c r="E60" s="608">
        <v>353.72</v>
      </c>
      <c r="F60" s="80"/>
    </row>
    <row r="61" spans="1:40" s="8" customFormat="1" ht="16" x14ac:dyDescent="0.2">
      <c r="A61" s="160" t="s">
        <v>133</v>
      </c>
      <c r="B61" s="160" t="s">
        <v>134</v>
      </c>
      <c r="C61" s="606" t="s">
        <v>154</v>
      </c>
      <c r="D61" s="160"/>
      <c r="E61" s="609">
        <v>15.46</v>
      </c>
      <c r="F61" s="80"/>
    </row>
    <row r="62" spans="1:40" s="8" customFormat="1" ht="16" x14ac:dyDescent="0.2">
      <c r="A62" s="160" t="s">
        <v>192</v>
      </c>
      <c r="B62" s="160" t="s">
        <v>98</v>
      </c>
      <c r="C62" s="606" t="s">
        <v>90</v>
      </c>
      <c r="D62" s="160"/>
      <c r="E62" s="608">
        <v>174</v>
      </c>
      <c r="F62" s="80"/>
    </row>
    <row r="63" spans="1:40" s="8" customFormat="1" ht="16" x14ac:dyDescent="0.2">
      <c r="A63" s="160" t="s">
        <v>132</v>
      </c>
      <c r="B63" s="160" t="s">
        <v>98</v>
      </c>
      <c r="C63" s="606" t="s">
        <v>90</v>
      </c>
      <c r="D63" s="160"/>
      <c r="E63" s="609">
        <v>141.6</v>
      </c>
      <c r="F63" s="80"/>
    </row>
    <row r="64" spans="1:40" s="8" customFormat="1" ht="16" x14ac:dyDescent="0.2">
      <c r="A64" s="160" t="s">
        <v>122</v>
      </c>
      <c r="B64" s="160" t="s">
        <v>98</v>
      </c>
      <c r="C64" s="606" t="s">
        <v>90</v>
      </c>
      <c r="D64" s="160"/>
      <c r="E64" s="608">
        <v>472.8</v>
      </c>
      <c r="F64" s="80"/>
    </row>
    <row r="65" spans="1:6" s="8" customFormat="1" ht="16" x14ac:dyDescent="0.2">
      <c r="A65" s="160" t="s">
        <v>114</v>
      </c>
      <c r="B65" s="160" t="s">
        <v>98</v>
      </c>
      <c r="C65" s="606" t="s">
        <v>90</v>
      </c>
      <c r="D65" s="160"/>
      <c r="E65" s="608">
        <v>369.6</v>
      </c>
      <c r="F65" s="80"/>
    </row>
    <row r="66" spans="1:6" s="8" customFormat="1" ht="16" x14ac:dyDescent="0.2">
      <c r="A66" s="160" t="s">
        <v>88</v>
      </c>
      <c r="B66" s="160" t="s">
        <v>98</v>
      </c>
      <c r="C66" s="606" t="s">
        <v>90</v>
      </c>
      <c r="D66" s="160"/>
      <c r="E66" s="608">
        <v>662.4</v>
      </c>
      <c r="F66" s="80"/>
    </row>
    <row r="67" spans="1:6" s="8" customFormat="1" ht="16" x14ac:dyDescent="0.2">
      <c r="A67" s="160" t="s">
        <v>97</v>
      </c>
      <c r="B67" s="160" t="s">
        <v>98</v>
      </c>
      <c r="C67" s="606" t="s">
        <v>90</v>
      </c>
      <c r="D67" s="160"/>
      <c r="E67" s="608">
        <v>331.2</v>
      </c>
      <c r="F67" s="80"/>
    </row>
    <row r="68" spans="1:6" s="8" customFormat="1" ht="16" x14ac:dyDescent="0.2">
      <c r="A68" s="160" t="s">
        <v>141</v>
      </c>
      <c r="B68" s="160" t="s">
        <v>98</v>
      </c>
      <c r="C68" s="606" t="s">
        <v>90</v>
      </c>
      <c r="D68" s="160"/>
      <c r="E68" s="609">
        <v>711.6</v>
      </c>
      <c r="F68" s="80"/>
    </row>
    <row r="69" spans="1:6" s="8" customFormat="1" ht="16" x14ac:dyDescent="0.2">
      <c r="A69" s="160" t="s">
        <v>194</v>
      </c>
      <c r="B69" s="160" t="s">
        <v>195</v>
      </c>
      <c r="C69" s="606" t="s">
        <v>196</v>
      </c>
      <c r="D69" s="160"/>
      <c r="E69" s="608">
        <v>60</v>
      </c>
      <c r="F69" s="80"/>
    </row>
    <row r="70" spans="1:6" s="8" customFormat="1" ht="16" x14ac:dyDescent="0.2">
      <c r="A70" s="160" t="s">
        <v>168</v>
      </c>
      <c r="B70" s="160" t="s">
        <v>169</v>
      </c>
      <c r="C70" s="617" t="s">
        <v>90</v>
      </c>
      <c r="D70" s="160"/>
      <c r="E70" s="618">
        <v>240</v>
      </c>
      <c r="F70" s="80"/>
    </row>
    <row r="71" spans="1:6" s="8" customFormat="1" ht="16" x14ac:dyDescent="0.2">
      <c r="A71" s="619" t="s">
        <v>151</v>
      </c>
      <c r="B71" s="619" t="s">
        <v>152</v>
      </c>
      <c r="C71" s="606" t="s">
        <v>90</v>
      </c>
      <c r="D71" s="160"/>
      <c r="E71" s="620">
        <v>82.2</v>
      </c>
      <c r="F71" s="80"/>
    </row>
    <row r="72" spans="1:6" s="8" customFormat="1" ht="16" x14ac:dyDescent="0.2">
      <c r="A72" s="160" t="s">
        <v>131</v>
      </c>
      <c r="B72" s="160" t="s">
        <v>23</v>
      </c>
      <c r="C72" s="606" t="s">
        <v>90</v>
      </c>
      <c r="D72" s="160"/>
      <c r="E72" s="609">
        <v>349.44</v>
      </c>
      <c r="F72" s="80"/>
    </row>
    <row r="73" spans="1:6" s="8" customFormat="1" ht="16" x14ac:dyDescent="0.2">
      <c r="A73" s="160" t="s">
        <v>87</v>
      </c>
      <c r="B73" s="160" t="s">
        <v>86</v>
      </c>
      <c r="C73" s="606" t="s">
        <v>90</v>
      </c>
      <c r="D73" s="616"/>
      <c r="E73" s="608">
        <v>179.15</v>
      </c>
      <c r="F73" s="80"/>
    </row>
    <row r="74" spans="1:6" s="8" customFormat="1" ht="16" x14ac:dyDescent="0.2">
      <c r="A74" s="160" t="s">
        <v>87</v>
      </c>
      <c r="B74" s="160" t="s">
        <v>174</v>
      </c>
      <c r="C74" s="606" t="s">
        <v>210</v>
      </c>
      <c r="D74" s="160"/>
      <c r="E74" s="608">
        <v>48</v>
      </c>
      <c r="F74" s="80"/>
    </row>
    <row r="75" spans="1:6" s="8" customFormat="1" ht="16" x14ac:dyDescent="0.2">
      <c r="A75" s="160" t="s">
        <v>87</v>
      </c>
      <c r="B75" s="160" t="s">
        <v>174</v>
      </c>
      <c r="C75" s="606" t="s">
        <v>210</v>
      </c>
      <c r="D75" s="160"/>
      <c r="E75" s="608">
        <v>30</v>
      </c>
      <c r="F75" s="80"/>
    </row>
    <row r="76" spans="1:6" s="8" customFormat="1" ht="16" x14ac:dyDescent="0.2">
      <c r="A76" s="614" t="s">
        <v>87</v>
      </c>
      <c r="B76" s="621" t="s">
        <v>227</v>
      </c>
      <c r="C76" s="606" t="s">
        <v>210</v>
      </c>
      <c r="D76" s="160"/>
      <c r="E76" s="615">
        <v>90</v>
      </c>
      <c r="F76" s="80"/>
    </row>
    <row r="77" spans="1:6" s="8" customFormat="1" ht="16" x14ac:dyDescent="0.2">
      <c r="A77" s="614" t="s">
        <v>221</v>
      </c>
      <c r="B77" s="621" t="s">
        <v>217</v>
      </c>
      <c r="C77" s="606" t="s">
        <v>90</v>
      </c>
      <c r="D77" s="160"/>
      <c r="E77" s="615">
        <v>36</v>
      </c>
      <c r="F77" s="229"/>
    </row>
    <row r="78" spans="1:6" s="8" customFormat="1" ht="16" x14ac:dyDescent="0.2">
      <c r="A78" s="614" t="s">
        <v>222</v>
      </c>
      <c r="B78" s="621" t="s">
        <v>226</v>
      </c>
      <c r="C78" s="606" t="s">
        <v>210</v>
      </c>
      <c r="D78" s="160"/>
      <c r="E78" s="615">
        <v>60</v>
      </c>
      <c r="F78" s="80"/>
    </row>
    <row r="79" spans="1:6" s="8" customFormat="1" ht="16" x14ac:dyDescent="0.2">
      <c r="A79" s="160" t="s">
        <v>82</v>
      </c>
      <c r="B79" s="160" t="s">
        <v>83</v>
      </c>
      <c r="C79" s="606" t="s">
        <v>154</v>
      </c>
      <c r="D79" s="616"/>
      <c r="E79" s="608">
        <v>50</v>
      </c>
      <c r="F79" s="80"/>
    </row>
    <row r="80" spans="1:6" s="8" customFormat="1" ht="16" x14ac:dyDescent="0.2">
      <c r="A80" s="160" t="s">
        <v>116</v>
      </c>
      <c r="B80" s="160" t="s">
        <v>117</v>
      </c>
      <c r="C80" s="606" t="s">
        <v>154</v>
      </c>
      <c r="D80" s="160"/>
      <c r="E80" s="664">
        <v>36.479999999999997</v>
      </c>
      <c r="F80" s="80"/>
    </row>
    <row r="81" spans="1:31" s="136" customFormat="1" ht="16" x14ac:dyDescent="0.2">
      <c r="A81" s="160" t="s">
        <v>144</v>
      </c>
      <c r="B81" s="160" t="s">
        <v>145</v>
      </c>
      <c r="C81" s="606" t="s">
        <v>90</v>
      </c>
      <c r="D81" s="664"/>
      <c r="E81" s="160">
        <v>110</v>
      </c>
      <c r="F81" s="80"/>
    </row>
    <row r="82" spans="1:31" s="136" customFormat="1" ht="16" x14ac:dyDescent="0.2">
      <c r="A82" s="160" t="s">
        <v>112</v>
      </c>
      <c r="B82" s="160" t="s">
        <v>113</v>
      </c>
      <c r="C82" s="606" t="s">
        <v>154</v>
      </c>
      <c r="D82" s="160"/>
      <c r="E82" s="664">
        <v>276</v>
      </c>
      <c r="F82" s="80"/>
    </row>
    <row r="83" spans="1:31" s="136" customFormat="1" ht="16" x14ac:dyDescent="0.2">
      <c r="A83" s="160" t="s">
        <v>118</v>
      </c>
      <c r="B83" s="160" t="s">
        <v>119</v>
      </c>
      <c r="C83" s="606" t="s">
        <v>90</v>
      </c>
      <c r="D83" s="160"/>
      <c r="E83" s="664">
        <v>150</v>
      </c>
      <c r="F83" s="80"/>
    </row>
    <row r="84" spans="1:31" s="136" customFormat="1" ht="16" x14ac:dyDescent="0.2">
      <c r="A84" s="160" t="s">
        <v>185</v>
      </c>
      <c r="B84" s="160" t="s">
        <v>167</v>
      </c>
      <c r="C84" s="606" t="s">
        <v>90</v>
      </c>
      <c r="D84" s="160"/>
      <c r="E84" s="664">
        <v>150</v>
      </c>
      <c r="F84" s="80"/>
    </row>
    <row r="85" spans="1:31" s="571" customFormat="1" ht="16" x14ac:dyDescent="0.2">
      <c r="A85" s="160" t="s">
        <v>133</v>
      </c>
      <c r="B85" s="160" t="s">
        <v>134</v>
      </c>
      <c r="C85" s="606" t="s">
        <v>154</v>
      </c>
      <c r="D85" s="160"/>
      <c r="E85" s="609">
        <v>15.46</v>
      </c>
      <c r="F85" s="554"/>
      <c r="G85" s="554"/>
    </row>
    <row r="86" spans="1:31" s="136" customFormat="1" ht="16" x14ac:dyDescent="0.2">
      <c r="A86" s="665"/>
      <c r="B86" s="666"/>
      <c r="C86" s="614"/>
      <c r="D86" s="622"/>
      <c r="E86" s="623"/>
      <c r="F86" s="661"/>
    </row>
    <row r="87" spans="1:31" s="663" customFormat="1" ht="50" customHeight="1" x14ac:dyDescent="0.25">
      <c r="A87" s="667" t="s">
        <v>326</v>
      </c>
      <c r="B87" s="668"/>
      <c r="C87" s="649"/>
      <c r="D87" s="650"/>
      <c r="E87" s="651">
        <f>SUM(E50:E86)</f>
        <v>6269.1499999999987</v>
      </c>
      <c r="F87" s="662"/>
      <c r="G87" s="652"/>
    </row>
    <row r="88" spans="1:31" s="136" customFormat="1" ht="16" x14ac:dyDescent="0.2">
      <c r="A88" s="524"/>
      <c r="B88" s="81"/>
      <c r="C88" s="80"/>
      <c r="D88" s="80"/>
      <c r="E88" s="85"/>
      <c r="F88" s="85"/>
      <c r="G88" s="457"/>
    </row>
    <row r="89" spans="1:31" s="579" customFormat="1" ht="21" hidden="1" x14ac:dyDescent="0.25">
      <c r="A89" s="653"/>
      <c r="B89" s="654"/>
      <c r="C89" s="655"/>
      <c r="D89" s="655"/>
      <c r="E89" s="656"/>
      <c r="F89" s="657"/>
      <c r="G89" s="552"/>
      <c r="H89" s="550"/>
      <c r="I89" s="550"/>
      <c r="J89" s="550"/>
      <c r="K89" s="550"/>
      <c r="L89" s="550"/>
      <c r="M89" s="550"/>
      <c r="N89" s="550"/>
      <c r="O89" s="550"/>
      <c r="P89" s="550"/>
      <c r="Q89" s="550"/>
      <c r="R89" s="550"/>
      <c r="S89" s="550"/>
      <c r="T89" s="550" t="s">
        <v>38</v>
      </c>
      <c r="U89" s="553"/>
      <c r="V89" s="553"/>
      <c r="W89" s="658"/>
      <c r="X89" s="659" t="s">
        <v>39</v>
      </c>
      <c r="Y89" s="659" t="s">
        <v>39</v>
      </c>
      <c r="Z89" s="659"/>
      <c r="AA89" s="659"/>
      <c r="AB89" s="659"/>
      <c r="AC89" s="659"/>
      <c r="AD89" s="660"/>
      <c r="AE89" s="8">
        <f>SUM(H89:AC89)</f>
        <v>0</v>
      </c>
    </row>
    <row r="90" spans="1:31" s="579" customFormat="1" ht="21" hidden="1" x14ac:dyDescent="0.25">
      <c r="A90" s="844" t="s">
        <v>37</v>
      </c>
      <c r="B90" s="844"/>
      <c r="C90" s="844"/>
      <c r="D90" s="580"/>
      <c r="E90" s="575"/>
      <c r="F90" s="581"/>
      <c r="G90" s="554"/>
      <c r="H90" s="554">
        <v>60</v>
      </c>
      <c r="I90" s="554">
        <v>70</v>
      </c>
      <c r="J90" s="554">
        <v>200</v>
      </c>
      <c r="K90" s="554">
        <v>100</v>
      </c>
      <c r="L90" s="554"/>
      <c r="M90" s="554">
        <v>700</v>
      </c>
      <c r="N90" s="554">
        <v>400</v>
      </c>
      <c r="O90" s="554">
        <v>840</v>
      </c>
      <c r="P90" s="555" t="e">
        <f>#REF!-#REF!</f>
        <v>#REF!</v>
      </c>
      <c r="Q90" s="554">
        <v>300</v>
      </c>
      <c r="R90" s="554">
        <v>8500</v>
      </c>
      <c r="S90" s="554">
        <f>1186+4686.41</f>
        <v>5872.41</v>
      </c>
      <c r="T90" s="554">
        <v>500</v>
      </c>
      <c r="U90" s="556">
        <v>550</v>
      </c>
      <c r="V90" s="556"/>
      <c r="W90" s="582"/>
      <c r="X90" s="583">
        <v>600</v>
      </c>
      <c r="Y90" s="583">
        <f>434.72+65.28</f>
        <v>500</v>
      </c>
      <c r="Z90" s="583">
        <f>186.44+345.12</f>
        <v>531.55999999999995</v>
      </c>
      <c r="AA90" s="583">
        <f>636-156</f>
        <v>480</v>
      </c>
      <c r="AB90" s="583">
        <f>14268+1486.79</f>
        <v>15754.79</v>
      </c>
      <c r="AC90" s="583">
        <v>5407.11</v>
      </c>
      <c r="AD90" s="578"/>
      <c r="AE90" s="8" t="e">
        <f>SUM(H90:AC90)</f>
        <v>#REF!</v>
      </c>
    </row>
    <row r="91" spans="1:31" s="579" customFormat="1" hidden="1" x14ac:dyDescent="0.25">
      <c r="A91" s="572"/>
      <c r="B91" s="573"/>
      <c r="C91" s="574"/>
      <c r="D91" s="574"/>
      <c r="E91" s="575"/>
      <c r="F91" s="576"/>
      <c r="G91" s="552"/>
      <c r="H91" s="550"/>
      <c r="I91" s="550"/>
      <c r="J91" s="550"/>
      <c r="K91" s="550"/>
      <c r="L91" s="550"/>
      <c r="M91" s="550"/>
      <c r="N91" s="550"/>
      <c r="O91" s="550"/>
      <c r="P91" s="550"/>
      <c r="Q91" s="550"/>
      <c r="R91" s="550"/>
      <c r="S91" s="550"/>
      <c r="T91" s="550"/>
      <c r="U91" s="553"/>
      <c r="V91" s="553"/>
      <c r="W91" s="577"/>
      <c r="X91" s="578"/>
      <c r="Y91" s="578"/>
      <c r="Z91" s="578"/>
      <c r="AA91" s="578"/>
      <c r="AB91" s="578"/>
      <c r="AC91" s="578"/>
      <c r="AD91" s="578"/>
      <c r="AE91" s="8">
        <f>SUM(H91:AC91)</f>
        <v>0</v>
      </c>
    </row>
    <row r="92" spans="1:31" s="579" customFormat="1" hidden="1" x14ac:dyDescent="0.25">
      <c r="A92" s="572" t="s">
        <v>36</v>
      </c>
      <c r="B92" s="573"/>
      <c r="C92" s="574"/>
      <c r="D92" s="574"/>
      <c r="E92" s="575"/>
      <c r="F92" s="576"/>
      <c r="G92" s="552"/>
      <c r="H92" s="550" t="e">
        <f>H90-#REF!</f>
        <v>#REF!</v>
      </c>
      <c r="I92" s="550" t="e">
        <f>I90-#REF!</f>
        <v>#REF!</v>
      </c>
      <c r="J92" s="550" t="e">
        <f>J90-#REF!</f>
        <v>#REF!</v>
      </c>
      <c r="K92" s="550" t="e">
        <f>K90-#REF!</f>
        <v>#REF!</v>
      </c>
      <c r="L92" s="550"/>
      <c r="M92" s="550" t="e">
        <f>M90-#REF!</f>
        <v>#REF!</v>
      </c>
      <c r="N92" s="550" t="e">
        <f>N90-#REF!</f>
        <v>#REF!</v>
      </c>
      <c r="O92" s="550" t="e">
        <f>O90-#REF!</f>
        <v>#REF!</v>
      </c>
      <c r="P92" s="550"/>
      <c r="Q92" s="550" t="e">
        <f>Q90-#REF!</f>
        <v>#REF!</v>
      </c>
      <c r="R92" s="550" t="e">
        <f>R90-#REF!</f>
        <v>#REF!</v>
      </c>
      <c r="S92" s="550" t="e">
        <f>S90-#REF!</f>
        <v>#REF!</v>
      </c>
      <c r="T92" s="550" t="e">
        <f>T90-#REF!</f>
        <v>#REF!</v>
      </c>
      <c r="U92" s="553" t="e">
        <f>U90-#REF!</f>
        <v>#REF!</v>
      </c>
      <c r="V92" s="553"/>
      <c r="W92" s="577"/>
      <c r="X92" s="578" t="e">
        <f>X90-#REF!</f>
        <v>#REF!</v>
      </c>
      <c r="Y92" s="578" t="e">
        <f>Y90-#REF!</f>
        <v>#REF!</v>
      </c>
      <c r="Z92" s="578" t="e">
        <f>Z90-#REF!</f>
        <v>#REF!</v>
      </c>
      <c r="AA92" s="578" t="e">
        <f>AA90-#REF!</f>
        <v>#REF!</v>
      </c>
      <c r="AB92" s="578" t="e">
        <f>AB90-#REF!</f>
        <v>#REF!</v>
      </c>
      <c r="AC92" s="578" t="e">
        <f>#REF!-AC90</f>
        <v>#REF!</v>
      </c>
      <c r="AD92" s="17"/>
      <c r="AE92" s="8" t="e">
        <f>SUM(H92:AC92)</f>
        <v>#REF!</v>
      </c>
    </row>
    <row r="93" spans="1:31" s="8" customFormat="1" ht="16" hidden="1" x14ac:dyDescent="0.2">
      <c r="A93" s="584"/>
      <c r="B93" s="31"/>
      <c r="C93" s="32"/>
      <c r="D93" s="32"/>
      <c r="E93" s="33"/>
      <c r="F93" s="518"/>
      <c r="G93" s="542"/>
      <c r="H93" s="149"/>
      <c r="I93" s="149"/>
      <c r="J93" s="149"/>
      <c r="K93" s="149"/>
      <c r="L93" s="149"/>
      <c r="M93" s="80"/>
      <c r="N93" s="80"/>
      <c r="O93" s="80"/>
      <c r="P93" s="80"/>
      <c r="Q93" s="80"/>
      <c r="R93" s="80"/>
      <c r="S93" s="80"/>
      <c r="T93" s="80"/>
      <c r="U93" s="136"/>
      <c r="V93" s="136"/>
      <c r="W93" s="570"/>
      <c r="X93" s="7"/>
      <c r="Y93" s="7"/>
      <c r="Z93" s="7"/>
      <c r="AA93" s="7"/>
      <c r="AB93" s="7"/>
      <c r="AC93" s="7"/>
      <c r="AD93" s="18"/>
      <c r="AE93" s="8">
        <f>SUM(H93:AD93)</f>
        <v>0</v>
      </c>
    </row>
    <row r="94" spans="1:31" s="8" customFormat="1" ht="16" hidden="1" x14ac:dyDescent="0.2">
      <c r="A94" s="585"/>
      <c r="B94" s="586"/>
      <c r="C94" s="34"/>
      <c r="D94" s="34"/>
      <c r="E94" s="400"/>
      <c r="F94" s="400"/>
      <c r="G94" s="457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34"/>
      <c r="AE94" s="18"/>
    </row>
    <row r="95" spans="1:31" s="8" customFormat="1" ht="16" hidden="1" x14ac:dyDescent="0.2">
      <c r="A95" s="585"/>
      <c r="B95" s="587"/>
      <c r="C95" s="588" t="s">
        <v>45</v>
      </c>
      <c r="D95" s="589">
        <v>38961.69</v>
      </c>
      <c r="E95" s="401"/>
      <c r="F95" s="590" t="s">
        <v>123</v>
      </c>
      <c r="G95" s="557"/>
      <c r="H95" s="80"/>
      <c r="I95" s="80"/>
      <c r="J95" s="80"/>
      <c r="K95" s="80"/>
      <c r="L95" s="82" t="e">
        <f>SUM(#REF!)</f>
        <v>#REF!</v>
      </c>
      <c r="M95" s="82"/>
      <c r="N95" s="80"/>
      <c r="O95" s="80"/>
      <c r="P95" s="80"/>
      <c r="Q95" s="80"/>
      <c r="R95" s="80"/>
      <c r="S95" s="80"/>
      <c r="T95" s="80"/>
      <c r="U95" s="80"/>
      <c r="V95" s="80"/>
      <c r="W95" s="34"/>
      <c r="AC95" s="591"/>
      <c r="AE95" s="18"/>
    </row>
    <row r="96" spans="1:31" s="8" customFormat="1" ht="17" hidden="1" thickBot="1" x14ac:dyDescent="0.25">
      <c r="A96" s="585"/>
      <c r="B96" s="587"/>
      <c r="C96" s="32" t="s">
        <v>57</v>
      </c>
      <c r="D96" s="187">
        <v>21678.5</v>
      </c>
      <c r="E96" s="400"/>
      <c r="F96" s="592" t="s">
        <v>58</v>
      </c>
      <c r="G96" s="558"/>
      <c r="H96" s="80"/>
      <c r="I96" s="80"/>
      <c r="J96" s="80"/>
      <c r="K96" s="80"/>
      <c r="L96" s="82" t="e">
        <f>L95-#REF!</f>
        <v>#REF!</v>
      </c>
      <c r="M96" s="82"/>
      <c r="N96" s="80"/>
      <c r="O96" s="80"/>
      <c r="P96" s="80"/>
      <c r="Q96" s="80"/>
      <c r="R96" s="80"/>
      <c r="S96" s="80"/>
      <c r="T96" s="80"/>
      <c r="U96" s="80"/>
      <c r="V96" s="80"/>
      <c r="W96" s="34"/>
      <c r="AE96" s="18"/>
    </row>
    <row r="97" spans="1:40" s="8" customFormat="1" ht="17" hidden="1" thickBot="1" x14ac:dyDescent="0.25">
      <c r="A97" s="585"/>
      <c r="B97" s="31"/>
      <c r="C97" s="32" t="s">
        <v>43</v>
      </c>
      <c r="D97" s="187">
        <v>56.35</v>
      </c>
      <c r="E97" s="593"/>
      <c r="F97" s="594" t="s">
        <v>60</v>
      </c>
      <c r="G97" s="558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34"/>
      <c r="AE97" s="18"/>
    </row>
    <row r="98" spans="1:40" s="8" customFormat="1" ht="17" hidden="1" thickBot="1" x14ac:dyDescent="0.25">
      <c r="A98" s="585"/>
      <c r="B98" s="31"/>
      <c r="C98" s="32"/>
      <c r="D98" s="32"/>
      <c r="E98" s="400"/>
      <c r="F98" s="594" t="s">
        <v>62</v>
      </c>
      <c r="G98" s="558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34"/>
      <c r="AE98" s="18"/>
    </row>
    <row r="99" spans="1:40" s="8" customFormat="1" ht="17" hidden="1" thickBot="1" x14ac:dyDescent="0.25">
      <c r="A99" s="585"/>
      <c r="B99" s="31"/>
      <c r="C99" s="32" t="s">
        <v>12</v>
      </c>
      <c r="D99" s="187">
        <f>E123</f>
        <v>0</v>
      </c>
      <c r="E99" s="400"/>
      <c r="F99" s="594" t="s">
        <v>64</v>
      </c>
      <c r="G99" s="558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34"/>
      <c r="AE99" s="18"/>
    </row>
    <row r="100" spans="1:40" s="8" customFormat="1" ht="17" hidden="1" thickBot="1" x14ac:dyDescent="0.25">
      <c r="A100" s="585"/>
      <c r="B100" s="31"/>
      <c r="C100" s="32" t="s">
        <v>42</v>
      </c>
      <c r="D100" s="187" t="e">
        <f>#REF!</f>
        <v>#REF!</v>
      </c>
      <c r="E100" s="400"/>
      <c r="F100" s="594"/>
      <c r="G100" s="541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34"/>
      <c r="AE100" s="18"/>
    </row>
    <row r="101" spans="1:40" s="8" customFormat="1" ht="17" hidden="1" thickBot="1" x14ac:dyDescent="0.25">
      <c r="A101" s="585"/>
      <c r="B101" s="31"/>
      <c r="C101" s="32" t="s">
        <v>44</v>
      </c>
      <c r="D101" s="187" t="e">
        <f>SUM(#REF!)</f>
        <v>#REF!</v>
      </c>
      <c r="E101" s="400"/>
      <c r="F101" s="595" t="s">
        <v>66</v>
      </c>
      <c r="G101" s="559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34"/>
      <c r="AE101" s="18"/>
    </row>
    <row r="102" spans="1:40" s="8" customFormat="1" ht="16" hidden="1" x14ac:dyDescent="0.2">
      <c r="A102" s="585"/>
      <c r="B102" s="31"/>
      <c r="C102" s="32" t="s">
        <v>41</v>
      </c>
      <c r="D102" s="187">
        <v>38961.69</v>
      </c>
      <c r="E102" s="400"/>
      <c r="F102" s="590" t="s">
        <v>68</v>
      </c>
      <c r="G102" s="557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34"/>
      <c r="AE102" s="18"/>
    </row>
    <row r="103" spans="1:40" s="8" customFormat="1" ht="16" hidden="1" x14ac:dyDescent="0.2">
      <c r="A103" s="585"/>
      <c r="B103" s="31"/>
      <c r="C103" s="32" t="s">
        <v>47</v>
      </c>
      <c r="D103" s="187">
        <v>11991.8</v>
      </c>
      <c r="E103" s="400"/>
      <c r="F103" s="400"/>
      <c r="G103" s="457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34"/>
      <c r="AE103" s="18"/>
    </row>
    <row r="104" spans="1:40" s="8" customFormat="1" ht="16" hidden="1" x14ac:dyDescent="0.2">
      <c r="A104" s="585"/>
      <c r="B104" s="596"/>
      <c r="C104" s="77" t="s">
        <v>48</v>
      </c>
      <c r="D104" s="597">
        <f>D102+D103</f>
        <v>50953.490000000005</v>
      </c>
      <c r="E104" s="598"/>
      <c r="F104" s="400"/>
      <c r="G104" s="457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34"/>
      <c r="AE104" s="18"/>
    </row>
    <row r="105" spans="1:40" s="8" customFormat="1" ht="16" hidden="1" x14ac:dyDescent="0.2">
      <c r="A105" s="423"/>
      <c r="B105" s="81"/>
      <c r="C105" s="80"/>
      <c r="D105" s="82"/>
      <c r="E105" s="83">
        <f>D95-D102</f>
        <v>0</v>
      </c>
      <c r="F105" s="400"/>
      <c r="G105" s="457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34"/>
      <c r="AE105" s="18"/>
    </row>
    <row r="106" spans="1:40" s="8" customFormat="1" ht="16" hidden="1" x14ac:dyDescent="0.2">
      <c r="A106" s="423"/>
      <c r="B106" s="84"/>
      <c r="C106" s="80"/>
      <c r="D106" s="82"/>
      <c r="E106" s="85"/>
      <c r="F106" s="400"/>
      <c r="G106" s="457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34"/>
      <c r="AE106" s="18"/>
    </row>
    <row r="107" spans="1:40" s="8" customFormat="1" ht="16" hidden="1" x14ac:dyDescent="0.2">
      <c r="A107" s="423"/>
      <c r="B107" s="81"/>
      <c r="C107" s="80"/>
      <c r="D107" s="82"/>
      <c r="E107" s="85"/>
      <c r="F107" s="401"/>
      <c r="G107" s="56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34"/>
      <c r="AE107" s="18"/>
    </row>
    <row r="108" spans="1:40" s="8" customFormat="1" ht="16" hidden="1" x14ac:dyDescent="0.2">
      <c r="A108" s="423"/>
      <c r="B108" s="81"/>
      <c r="C108" s="80"/>
      <c r="D108" s="82"/>
      <c r="E108" s="85"/>
      <c r="F108" s="401"/>
      <c r="G108" s="56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34"/>
      <c r="AE108" s="18"/>
    </row>
    <row r="109" spans="1:40" s="8" customFormat="1" ht="16" hidden="1" x14ac:dyDescent="0.2">
      <c r="A109" s="423"/>
      <c r="B109" s="84"/>
      <c r="C109" s="80"/>
      <c r="D109" s="80"/>
      <c r="E109" s="85"/>
      <c r="F109" s="400"/>
      <c r="G109" s="457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34"/>
      <c r="AE109" s="18"/>
    </row>
    <row r="110" spans="1:40" s="8" customFormat="1" ht="16" x14ac:dyDescent="0.2">
      <c r="A110" s="423"/>
      <c r="B110" s="84"/>
      <c r="C110" s="80"/>
      <c r="D110" s="80"/>
      <c r="E110" s="85"/>
      <c r="F110" s="400"/>
      <c r="G110" s="457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34"/>
      <c r="AE110" s="18"/>
    </row>
    <row r="111" spans="1:40" ht="16" x14ac:dyDescent="0.2">
      <c r="A111" s="423"/>
      <c r="B111" s="84"/>
      <c r="C111" s="80"/>
      <c r="D111" s="80"/>
      <c r="E111" s="85"/>
      <c r="F111" s="54"/>
      <c r="G111" s="457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214"/>
      <c r="AB111"/>
      <c r="AE111" s="19"/>
      <c r="AF111"/>
      <c r="AN111"/>
    </row>
    <row r="112" spans="1:40" ht="57" x14ac:dyDescent="0.2">
      <c r="A112" s="724" t="s">
        <v>306</v>
      </c>
      <c r="B112" s="725" t="s">
        <v>353</v>
      </c>
      <c r="C112" s="724" t="s">
        <v>354</v>
      </c>
      <c r="D112" s="135"/>
      <c r="E112" s="523"/>
      <c r="F112" s="85"/>
      <c r="G112" s="457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214"/>
      <c r="AB112"/>
      <c r="AE112" s="19"/>
      <c r="AF112"/>
      <c r="AN112"/>
    </row>
    <row r="113" spans="1:41" s="8" customFormat="1" ht="30" x14ac:dyDescent="0.2">
      <c r="A113" s="467" t="s">
        <v>307</v>
      </c>
      <c r="B113" s="468">
        <v>49620.02</v>
      </c>
      <c r="C113" s="627" t="s">
        <v>348</v>
      </c>
      <c r="D113" s="80"/>
      <c r="E113" s="149"/>
      <c r="F113" s="85"/>
      <c r="G113" s="457"/>
      <c r="H113" s="80"/>
      <c r="I113" s="80"/>
      <c r="J113" s="80"/>
      <c r="K113" s="80"/>
      <c r="L113" s="80"/>
      <c r="M113" s="80"/>
      <c r="N113" s="80"/>
      <c r="O113" s="138"/>
      <c r="P113" s="80"/>
      <c r="Q113" s="80"/>
      <c r="R113" s="80"/>
      <c r="S113" s="80"/>
      <c r="T113" s="80"/>
      <c r="U113" s="80"/>
      <c r="V113" s="80"/>
      <c r="W113" s="34"/>
      <c r="X113" s="34"/>
      <c r="Y113" s="34"/>
      <c r="Z113" s="34"/>
      <c r="AA113" s="34"/>
      <c r="AB113" s="222"/>
      <c r="AC113" s="34"/>
      <c r="AD113" s="34"/>
      <c r="AE113" s="34"/>
      <c r="AF113" s="214"/>
    </row>
    <row r="114" spans="1:41" s="8" customFormat="1" ht="20" x14ac:dyDescent="0.2">
      <c r="A114" s="469" t="s">
        <v>70</v>
      </c>
      <c r="B114" s="470">
        <f>E6</f>
        <v>9154.7000000000007</v>
      </c>
      <c r="C114" s="477" t="s">
        <v>90</v>
      </c>
      <c r="D114" s="80"/>
      <c r="E114" s="149"/>
      <c r="F114" s="85"/>
      <c r="G114" s="540"/>
      <c r="H114" s="541"/>
      <c r="I114" s="542"/>
      <c r="J114" s="542"/>
      <c r="K114" s="457"/>
      <c r="L114" s="137"/>
      <c r="M114" s="80"/>
      <c r="N114" s="80"/>
      <c r="O114" s="567"/>
      <c r="P114" s="567"/>
      <c r="Q114" s="80"/>
      <c r="R114" s="80"/>
      <c r="S114" s="457"/>
      <c r="T114" s="137"/>
      <c r="U114" s="80"/>
      <c r="V114" s="80"/>
      <c r="W114" s="34"/>
      <c r="X114" s="34"/>
      <c r="Y114" s="34"/>
      <c r="Z114" s="34"/>
      <c r="AA114" s="34"/>
      <c r="AB114" s="222"/>
      <c r="AC114" s="34"/>
      <c r="AD114" s="34"/>
      <c r="AE114" s="34"/>
      <c r="AF114" s="214"/>
    </row>
    <row r="115" spans="1:41" s="8" customFormat="1" ht="16" customHeight="1" x14ac:dyDescent="0.2">
      <c r="A115" s="471" t="s">
        <v>71</v>
      </c>
      <c r="B115" s="472">
        <f>E27</f>
        <v>19975.66</v>
      </c>
      <c r="C115" s="479" t="s">
        <v>346</v>
      </c>
      <c r="D115" s="80"/>
      <c r="E115" s="149"/>
      <c r="F115" s="85"/>
      <c r="G115" s="843"/>
      <c r="H115" s="843"/>
      <c r="I115" s="843"/>
      <c r="J115" s="843"/>
      <c r="K115" s="80"/>
      <c r="L115" s="137"/>
      <c r="M115" s="438"/>
      <c r="N115" s="137"/>
      <c r="O115" s="568"/>
      <c r="P115" s="568"/>
      <c r="Q115" s="80"/>
      <c r="R115" s="173"/>
      <c r="S115" s="137"/>
      <c r="T115" s="137"/>
      <c r="U115" s="80"/>
      <c r="V115" s="80"/>
      <c r="W115" s="34"/>
      <c r="X115" s="34"/>
      <c r="Y115" s="34"/>
      <c r="Z115" s="34"/>
      <c r="AA115" s="34"/>
      <c r="AB115" s="223"/>
      <c r="AC115" s="34"/>
      <c r="AD115" s="34"/>
      <c r="AE115" s="34"/>
      <c r="AF115" s="214"/>
    </row>
    <row r="116" spans="1:41" s="8" customFormat="1" ht="30" customHeight="1" x14ac:dyDescent="0.2">
      <c r="A116" s="473" t="s">
        <v>72</v>
      </c>
      <c r="B116" s="474">
        <f>E45</f>
        <v>7213.83</v>
      </c>
      <c r="C116" s="478" t="s">
        <v>355</v>
      </c>
      <c r="D116" s="80"/>
      <c r="E116" s="149"/>
      <c r="F116" s="85"/>
      <c r="G116" s="543"/>
      <c r="H116" s="544"/>
      <c r="I116" s="149"/>
      <c r="J116" s="171"/>
      <c r="K116" s="82"/>
      <c r="L116" s="137"/>
      <c r="M116" s="137"/>
      <c r="N116" s="137"/>
      <c r="O116" s="557"/>
      <c r="P116" s="557"/>
      <c r="Q116" s="561"/>
      <c r="R116" s="173"/>
      <c r="S116" s="137"/>
      <c r="T116" s="137"/>
      <c r="U116" s="80"/>
      <c r="V116" s="80"/>
      <c r="W116" s="34"/>
      <c r="X116" s="34"/>
      <c r="Y116" s="34"/>
      <c r="Z116" s="34"/>
      <c r="AA116" s="34"/>
      <c r="AB116" s="223"/>
      <c r="AC116" s="34"/>
      <c r="AD116" s="34"/>
      <c r="AE116" s="34"/>
      <c r="AF116" s="214"/>
    </row>
    <row r="117" spans="1:41" s="8" customFormat="1" ht="17" customHeight="1" thickBot="1" x14ac:dyDescent="0.25">
      <c r="A117" s="467" t="s">
        <v>308</v>
      </c>
      <c r="B117" s="468">
        <v>0</v>
      </c>
      <c r="C117" s="277" t="s">
        <v>356</v>
      </c>
      <c r="D117" s="80"/>
      <c r="E117" s="149"/>
      <c r="F117" s="520"/>
      <c r="G117" s="543"/>
      <c r="H117" s="137"/>
      <c r="I117" s="149"/>
      <c r="J117" s="171"/>
      <c r="K117" s="80"/>
      <c r="L117" s="137"/>
      <c r="M117" s="137"/>
      <c r="N117" s="137"/>
      <c r="O117" s="565"/>
      <c r="P117" s="565"/>
      <c r="Q117" s="562"/>
      <c r="R117" s="171"/>
      <c r="S117" s="137"/>
      <c r="T117" s="137"/>
      <c r="U117" s="80"/>
      <c r="V117" s="80"/>
      <c r="W117" s="34"/>
      <c r="X117" s="34"/>
      <c r="Y117" s="34"/>
      <c r="Z117" s="118"/>
      <c r="AA117" s="118"/>
      <c r="AB117" s="223"/>
      <c r="AC117" s="118"/>
      <c r="AD117" s="34"/>
      <c r="AE117" s="34"/>
      <c r="AF117" s="214"/>
      <c r="AO117" s="22">
        <v>50</v>
      </c>
    </row>
    <row r="118" spans="1:41" s="8" customFormat="1" ht="17" customHeight="1" thickBot="1" x14ac:dyDescent="0.25">
      <c r="A118" s="624" t="s">
        <v>74</v>
      </c>
      <c r="B118" s="625">
        <f>E87</f>
        <v>6269.1499999999987</v>
      </c>
      <c r="C118" s="626" t="s">
        <v>347</v>
      </c>
      <c r="D118" s="80"/>
      <c r="E118" s="149"/>
      <c r="F118" s="85"/>
      <c r="G118" s="543"/>
      <c r="H118" s="137"/>
      <c r="I118" s="149"/>
      <c r="J118" s="171"/>
      <c r="K118" s="82"/>
      <c r="L118" s="137"/>
      <c r="M118" s="137"/>
      <c r="N118" s="137"/>
      <c r="O118" s="557"/>
      <c r="P118" s="557"/>
      <c r="Q118" s="563"/>
      <c r="R118" s="80"/>
      <c r="S118" s="137"/>
      <c r="T118" s="137"/>
      <c r="U118" s="80"/>
      <c r="V118" s="80"/>
      <c r="W118" s="34"/>
      <c r="X118" s="34"/>
      <c r="Y118" s="34"/>
      <c r="Z118" s="118"/>
      <c r="AA118" s="434"/>
      <c r="AB118" s="433"/>
      <c r="AC118" s="118"/>
      <c r="AD118" s="34"/>
      <c r="AE118" s="34"/>
      <c r="AF118" s="214"/>
      <c r="AO118" s="22">
        <v>60</v>
      </c>
    </row>
    <row r="119" spans="1:41" s="8" customFormat="1" ht="31" customHeight="1" thickBot="1" x14ac:dyDescent="0.25">
      <c r="A119" s="467" t="s">
        <v>75</v>
      </c>
      <c r="B119" s="468">
        <f>SUM(B113:B115)-SUM(B116:B118)</f>
        <v>65267.400000000009</v>
      </c>
      <c r="C119" s="273" t="s">
        <v>350</v>
      </c>
      <c r="D119" s="80"/>
      <c r="E119" s="149"/>
      <c r="F119" s="85"/>
      <c r="G119" s="543"/>
      <c r="H119" s="137"/>
      <c r="I119" s="149"/>
      <c r="J119" s="171"/>
      <c r="K119" s="82"/>
      <c r="L119" s="137"/>
      <c r="M119" s="137"/>
      <c r="N119" s="137"/>
      <c r="O119" s="557"/>
      <c r="P119" s="557"/>
      <c r="Q119" s="564"/>
      <c r="R119" s="80"/>
      <c r="S119" s="137"/>
      <c r="T119" s="137"/>
      <c r="U119" s="80"/>
      <c r="V119" s="80"/>
      <c r="W119" s="34"/>
      <c r="X119" s="34"/>
      <c r="Y119" s="34"/>
      <c r="Z119" s="118"/>
      <c r="AA119" s="434"/>
      <c r="AB119" s="433"/>
      <c r="AC119" s="118"/>
      <c r="AD119" s="34"/>
      <c r="AE119" s="34"/>
      <c r="AF119" s="214"/>
      <c r="AO119" s="268">
        <v>276</v>
      </c>
    </row>
    <row r="120" spans="1:41" s="8" customFormat="1" ht="17" customHeight="1" thickBot="1" x14ac:dyDescent="0.25">
      <c r="A120" s="467" t="s">
        <v>336</v>
      </c>
      <c r="B120" s="468">
        <f>B119</f>
        <v>65267.400000000009</v>
      </c>
      <c r="C120" s="277" t="s">
        <v>349</v>
      </c>
      <c r="D120" s="80"/>
      <c r="E120" s="149"/>
      <c r="F120" s="85"/>
      <c r="G120" s="543"/>
      <c r="H120" s="137"/>
      <c r="I120" s="149"/>
      <c r="J120" s="171"/>
      <c r="K120" s="80"/>
      <c r="L120" s="137"/>
      <c r="M120" s="137"/>
      <c r="N120" s="137"/>
      <c r="O120" s="565"/>
      <c r="P120" s="565"/>
      <c r="Q120" s="137"/>
      <c r="R120" s="80"/>
      <c r="S120" s="137"/>
      <c r="T120" s="137"/>
      <c r="U120" s="80"/>
      <c r="V120" s="80"/>
      <c r="W120" s="34"/>
      <c r="X120" s="34"/>
      <c r="Y120" s="245"/>
      <c r="Z120" s="246"/>
      <c r="AA120" s="434"/>
      <c r="AB120" s="433"/>
      <c r="AC120" s="118"/>
      <c r="AD120" s="34"/>
      <c r="AE120" s="34"/>
      <c r="AF120" s="214"/>
      <c r="AO120" s="268">
        <v>353.72</v>
      </c>
    </row>
    <row r="121" spans="1:41" s="8" customFormat="1" ht="31" customHeight="1" thickBot="1" x14ac:dyDescent="0.25">
      <c r="A121" s="702" t="s">
        <v>77</v>
      </c>
      <c r="B121" s="723">
        <v>28183.97</v>
      </c>
      <c r="C121" s="575" t="s">
        <v>351</v>
      </c>
      <c r="D121" s="80"/>
      <c r="E121" s="149"/>
      <c r="F121" s="85"/>
      <c r="G121" s="545"/>
      <c r="H121" s="137"/>
      <c r="I121" s="149"/>
      <c r="J121" s="171"/>
      <c r="K121" s="82"/>
      <c r="L121" s="137"/>
      <c r="M121" s="137"/>
      <c r="N121" s="137"/>
      <c r="O121" s="557"/>
      <c r="P121" s="557"/>
      <c r="Q121" s="544"/>
      <c r="R121" s="80"/>
      <c r="S121" s="137"/>
      <c r="T121" s="137"/>
      <c r="U121" s="80"/>
      <c r="V121" s="80"/>
      <c r="W121" s="34"/>
      <c r="X121" s="34"/>
      <c r="Y121" s="174"/>
      <c r="Z121" s="246"/>
      <c r="AA121" s="174"/>
      <c r="AB121" s="243"/>
      <c r="AC121" s="118"/>
      <c r="AD121" s="34"/>
      <c r="AE121" s="34"/>
      <c r="AF121" s="214"/>
      <c r="AO121" s="268">
        <v>36.479999999999997</v>
      </c>
    </row>
    <row r="122" spans="1:41" s="8" customFormat="1" ht="31" customHeight="1" thickBot="1" x14ac:dyDescent="0.25">
      <c r="A122" s="702" t="s">
        <v>337</v>
      </c>
      <c r="B122" s="575">
        <v>0</v>
      </c>
      <c r="C122" s="575" t="s">
        <v>352</v>
      </c>
      <c r="D122" s="80"/>
      <c r="E122" s="149"/>
      <c r="F122" s="85"/>
      <c r="G122" s="545"/>
      <c r="H122" s="137"/>
      <c r="I122" s="229"/>
      <c r="J122" s="171"/>
      <c r="K122" s="82"/>
      <c r="L122" s="137"/>
      <c r="M122" s="137"/>
      <c r="N122" s="137"/>
      <c r="O122" s="557"/>
      <c r="P122" s="557"/>
      <c r="Q122" s="137"/>
      <c r="R122" s="137"/>
      <c r="S122" s="137"/>
      <c r="T122" s="137"/>
      <c r="U122" s="80"/>
      <c r="V122" s="80"/>
      <c r="W122" s="34"/>
      <c r="X122" s="34"/>
      <c r="Y122" s="174"/>
      <c r="Z122" s="246"/>
      <c r="AA122" s="174"/>
      <c r="AB122" s="243"/>
      <c r="AC122" s="118"/>
      <c r="AD122" s="34"/>
      <c r="AE122" s="34"/>
      <c r="AF122" s="214"/>
      <c r="AO122" s="268">
        <v>312</v>
      </c>
    </row>
    <row r="123" spans="1:41" s="8" customFormat="1" ht="54" customHeight="1" thickBot="1" x14ac:dyDescent="0.25">
      <c r="A123" s="522"/>
      <c r="B123" s="726"/>
      <c r="C123" s="526"/>
      <c r="D123" s="526"/>
      <c r="E123" s="527"/>
      <c r="F123" s="521"/>
      <c r="G123" s="545"/>
      <c r="H123" s="137"/>
      <c r="I123" s="229"/>
      <c r="J123" s="171"/>
      <c r="K123" s="82"/>
      <c r="L123" s="137"/>
      <c r="M123" s="137"/>
      <c r="N123" s="137"/>
      <c r="O123" s="557"/>
      <c r="P123" s="557"/>
      <c r="Q123" s="544"/>
      <c r="R123" s="137"/>
      <c r="S123" s="137"/>
      <c r="T123" s="137"/>
      <c r="U123" s="80"/>
      <c r="V123" s="80"/>
      <c r="W123" s="34"/>
      <c r="X123" s="34"/>
      <c r="Y123" s="174"/>
      <c r="Z123" s="246"/>
      <c r="AA123" s="174"/>
      <c r="AB123" s="243"/>
      <c r="AC123" s="118"/>
      <c r="AD123" s="34"/>
      <c r="AE123" s="34"/>
      <c r="AF123" s="214"/>
      <c r="AN123" s="18"/>
      <c r="AO123" s="268">
        <v>15.46</v>
      </c>
    </row>
    <row r="124" spans="1:41" ht="17" customHeight="1" thickBot="1" x14ac:dyDescent="0.25">
      <c r="A124" s="522"/>
      <c r="B124" s="81"/>
      <c r="C124" s="80"/>
      <c r="D124" s="80"/>
      <c r="E124" s="85"/>
      <c r="F124" s="85"/>
      <c r="G124" s="545"/>
      <c r="H124" s="137"/>
      <c r="I124" s="82"/>
      <c r="J124" s="171"/>
      <c r="K124" s="82"/>
      <c r="L124" s="137"/>
      <c r="M124" s="143"/>
      <c r="N124" s="143"/>
      <c r="O124" s="565"/>
      <c r="P124" s="565"/>
      <c r="Q124" s="137"/>
      <c r="R124" s="137"/>
      <c r="S124" s="145"/>
      <c r="T124" s="137"/>
      <c r="U124" s="80"/>
      <c r="V124" s="80"/>
      <c r="W124" s="52"/>
      <c r="X124" s="52"/>
      <c r="Y124" s="174"/>
      <c r="Z124" s="246"/>
      <c r="AA124" s="174"/>
      <c r="AB124" s="243"/>
      <c r="AC124" s="118"/>
      <c r="AD124" s="52"/>
      <c r="AE124" s="52"/>
      <c r="AF124" s="214"/>
      <c r="AO124" s="268">
        <v>90.98</v>
      </c>
    </row>
    <row r="125" spans="1:41" ht="31" customHeight="1" thickBot="1" x14ac:dyDescent="0.25">
      <c r="A125" s="522"/>
      <c r="B125" s="81"/>
      <c r="C125" s="80"/>
      <c r="D125" s="80"/>
      <c r="E125" s="85"/>
      <c r="F125" s="528"/>
      <c r="G125" s="545"/>
      <c r="H125" s="137"/>
      <c r="I125" s="82"/>
      <c r="J125" s="171"/>
      <c r="K125" s="82"/>
      <c r="L125" s="137"/>
      <c r="M125" s="137"/>
      <c r="N125" s="138"/>
      <c r="O125" s="557"/>
      <c r="P125" s="557"/>
      <c r="Q125" s="145"/>
      <c r="R125" s="137"/>
      <c r="S125" s="145"/>
      <c r="T125" s="137"/>
      <c r="U125" s="80"/>
      <c r="V125" s="80"/>
      <c r="W125" s="52"/>
      <c r="X125" s="52"/>
      <c r="Y125" s="174"/>
      <c r="Z125" s="246"/>
      <c r="AA125" s="174"/>
      <c r="AB125" s="243"/>
      <c r="AC125" s="118"/>
      <c r="AD125" s="52"/>
      <c r="AE125" s="52"/>
      <c r="AF125" s="214"/>
      <c r="AO125" s="268">
        <v>175.61</v>
      </c>
    </row>
    <row r="126" spans="1:41" ht="31" customHeight="1" thickBot="1" x14ac:dyDescent="0.25">
      <c r="A126" s="423"/>
      <c r="B126" s="529"/>
      <c r="C126" s="80"/>
      <c r="D126" s="80"/>
      <c r="E126" s="85"/>
      <c r="F126" s="520"/>
      <c r="G126" s="136"/>
      <c r="H126" s="192"/>
      <c r="I126" s="82"/>
      <c r="J126" s="171"/>
      <c r="K126" s="82"/>
      <c r="L126" s="137"/>
      <c r="M126" s="137"/>
      <c r="N126" s="138"/>
      <c r="O126" s="557"/>
      <c r="P126" s="557"/>
      <c r="Q126" s="145"/>
      <c r="R126" s="137"/>
      <c r="S126" s="144"/>
      <c r="T126" s="80"/>
      <c r="U126" s="80"/>
      <c r="V126" s="80"/>
      <c r="W126" s="52"/>
      <c r="X126" s="52"/>
      <c r="Y126" s="174"/>
      <c r="Z126" s="246"/>
      <c r="AA126" s="174"/>
      <c r="AB126" s="243"/>
      <c r="AC126" s="118"/>
      <c r="AD126" s="52"/>
      <c r="AE126" s="52"/>
      <c r="AF126" s="214"/>
      <c r="AO126" s="268">
        <v>56.25</v>
      </c>
    </row>
    <row r="127" spans="1:41" ht="17" customHeight="1" thickBot="1" x14ac:dyDescent="0.25">
      <c r="A127" s="423"/>
      <c r="B127" s="529"/>
      <c r="C127" s="80"/>
      <c r="D127" s="80"/>
      <c r="E127" s="85"/>
      <c r="F127" s="85"/>
      <c r="G127" s="543"/>
      <c r="H127" s="137"/>
      <c r="I127" s="229"/>
      <c r="J127" s="171"/>
      <c r="K127" s="82"/>
      <c r="L127" s="137"/>
      <c r="M127" s="137"/>
      <c r="N127" s="138"/>
      <c r="O127" s="566"/>
      <c r="P127" s="566"/>
      <c r="Q127" s="551"/>
      <c r="R127" s="137"/>
      <c r="S127" s="144"/>
      <c r="T127" s="80"/>
      <c r="U127" s="80"/>
      <c r="V127" s="80"/>
      <c r="W127" s="52"/>
      <c r="X127" s="52"/>
      <c r="Y127" s="174"/>
      <c r="Z127" s="246"/>
      <c r="AA127" s="174"/>
      <c r="AB127" s="243"/>
      <c r="AC127" s="118"/>
      <c r="AD127" s="52"/>
      <c r="AE127" s="52"/>
      <c r="AF127" s="214"/>
      <c r="AO127" s="268">
        <v>81.599999999999994</v>
      </c>
    </row>
    <row r="128" spans="1:41" ht="16" x14ac:dyDescent="0.2">
      <c r="A128" s="423"/>
      <c r="B128" s="529"/>
      <c r="C128" s="80"/>
      <c r="D128" s="80"/>
      <c r="E128" s="85"/>
      <c r="F128" s="85"/>
      <c r="G128" s="843"/>
      <c r="H128" s="843"/>
      <c r="I128" s="843"/>
      <c r="J128" s="843"/>
      <c r="K128" s="80"/>
      <c r="L128" s="137"/>
      <c r="M128" s="137"/>
      <c r="N128" s="138"/>
      <c r="O128" s="142"/>
      <c r="P128" s="138"/>
      <c r="Q128" s="80"/>
      <c r="R128" s="80"/>
      <c r="S128" s="146"/>
      <c r="T128" s="80"/>
      <c r="U128" s="240"/>
      <c r="V128" s="52"/>
      <c r="W128" s="52"/>
      <c r="X128" s="52"/>
      <c r="Y128" s="174"/>
      <c r="Z128" s="246"/>
      <c r="AA128" s="174"/>
      <c r="AB128" s="243"/>
      <c r="AC128" s="118"/>
      <c r="AD128" s="52"/>
      <c r="AE128" s="52"/>
      <c r="AF128" s="214"/>
      <c r="AO128">
        <f>SUM(AO117:AO127)</f>
        <v>1508.1</v>
      </c>
    </row>
    <row r="129" spans="1:40" ht="16" x14ac:dyDescent="0.2">
      <c r="A129" s="423"/>
      <c r="B129" s="529"/>
      <c r="C129" s="80"/>
      <c r="D129" s="80"/>
      <c r="E129" s="85"/>
      <c r="F129" s="85"/>
      <c r="G129" s="535"/>
      <c r="H129" s="140"/>
      <c r="I129" s="80"/>
      <c r="J129" s="171"/>
      <c r="K129" s="80"/>
      <c r="L129" s="137"/>
      <c r="M129" s="137"/>
      <c r="N129" s="138"/>
      <c r="O129" s="142"/>
      <c r="P129" s="285"/>
      <c r="Q129" s="80"/>
      <c r="R129" s="80"/>
      <c r="S129" s="147"/>
      <c r="T129" s="55"/>
      <c r="U129" s="239"/>
      <c r="V129" s="52"/>
      <c r="W129" s="52"/>
      <c r="X129" s="52"/>
      <c r="Y129" s="174"/>
      <c r="Z129" s="246"/>
      <c r="AA129" s="174"/>
      <c r="AB129" s="243"/>
      <c r="AC129" s="118"/>
      <c r="AD129" s="52"/>
      <c r="AE129" s="52"/>
      <c r="AF129" s="214"/>
    </row>
    <row r="130" spans="1:40" s="12" customFormat="1" ht="30" x14ac:dyDescent="0.2">
      <c r="A130" s="522"/>
      <c r="B130" s="84"/>
      <c r="C130" s="135"/>
      <c r="D130" s="135"/>
      <c r="E130" s="523"/>
      <c r="F130" s="523"/>
      <c r="G130" s="535"/>
      <c r="H130" s="136"/>
      <c r="I130" s="136"/>
      <c r="J130" s="136"/>
      <c r="K130" s="135"/>
      <c r="L130" s="137"/>
      <c r="M130" s="137"/>
      <c r="N130" s="467" t="s">
        <v>306</v>
      </c>
      <c r="O130" s="468"/>
      <c r="P130" s="277"/>
      <c r="Q130" s="80"/>
      <c r="R130" s="135"/>
      <c r="S130" s="148"/>
      <c r="T130" s="98"/>
      <c r="U130" s="233"/>
      <c r="V130" s="97"/>
      <c r="W130" s="97"/>
      <c r="X130" s="97"/>
      <c r="Y130" s="247"/>
      <c r="Z130" s="246"/>
      <c r="AA130" s="248"/>
      <c r="AB130" s="243"/>
      <c r="AC130" s="120"/>
      <c r="AD130" s="97"/>
      <c r="AE130" s="97"/>
      <c r="AF130" s="215"/>
      <c r="AN130" s="21"/>
    </row>
    <row r="131" spans="1:40" ht="16" x14ac:dyDescent="0.2">
      <c r="A131" s="522"/>
      <c r="B131" s="81"/>
      <c r="C131" s="135"/>
      <c r="D131" s="135"/>
      <c r="E131" s="527"/>
      <c r="F131" s="85"/>
      <c r="G131" s="535"/>
      <c r="H131" s="285"/>
      <c r="I131" s="285"/>
      <c r="J131" s="285"/>
      <c r="K131" s="546"/>
      <c r="L131" s="229"/>
      <c r="M131" s="137"/>
      <c r="N131" s="467" t="s">
        <v>307</v>
      </c>
      <c r="O131" s="468">
        <v>49620.02</v>
      </c>
      <c r="P131" s="476" t="s">
        <v>314</v>
      </c>
      <c r="Q131" s="135"/>
      <c r="R131" s="80"/>
      <c r="S131" s="149"/>
      <c r="T131" s="55"/>
      <c r="U131" s="239"/>
      <c r="V131" s="52"/>
      <c r="W131" s="52"/>
      <c r="X131" s="52"/>
      <c r="Y131" s="800"/>
      <c r="Z131" s="800"/>
      <c r="AA131" s="249"/>
      <c r="AB131" s="243"/>
      <c r="AC131" s="118"/>
      <c r="AD131" s="52"/>
      <c r="AE131" s="52"/>
      <c r="AF131" s="214"/>
    </row>
    <row r="132" spans="1:40" ht="16" x14ac:dyDescent="0.2">
      <c r="A132" s="522"/>
      <c r="B132" s="84"/>
      <c r="C132" s="135"/>
      <c r="D132" s="135"/>
      <c r="E132" s="523"/>
      <c r="F132" s="85"/>
      <c r="G132" s="535"/>
      <c r="H132" s="285"/>
      <c r="I132" s="285"/>
      <c r="J132" s="285"/>
      <c r="K132" s="136"/>
      <c r="L132" s="229"/>
      <c r="M132" s="137"/>
      <c r="N132" s="469" t="s">
        <v>70</v>
      </c>
      <c r="O132" s="470">
        <f>E135</f>
        <v>0</v>
      </c>
      <c r="P132" s="477" t="s">
        <v>320</v>
      </c>
      <c r="Q132" s="80"/>
      <c r="R132" s="80"/>
      <c r="S132" s="80"/>
      <c r="T132" s="55"/>
      <c r="U132" s="239"/>
      <c r="V132" s="52"/>
      <c r="W132" s="52"/>
      <c r="X132" s="52"/>
      <c r="Y132" s="250"/>
      <c r="Z132" s="246"/>
      <c r="AA132" s="174"/>
      <c r="AB132" s="243"/>
      <c r="AC132" s="118"/>
      <c r="AD132" s="52"/>
      <c r="AE132" s="52"/>
      <c r="AF132" s="214"/>
    </row>
    <row r="133" spans="1:40" ht="16" x14ac:dyDescent="0.2">
      <c r="A133" s="522"/>
      <c r="B133" s="84"/>
      <c r="C133" s="135"/>
      <c r="D133" s="135"/>
      <c r="E133" s="523"/>
      <c r="F133" s="85"/>
      <c r="G133" s="535"/>
      <c r="H133" s="285"/>
      <c r="I133" s="285"/>
      <c r="J133" s="285"/>
      <c r="K133" s="136"/>
      <c r="L133" s="137"/>
      <c r="M133" s="137"/>
      <c r="N133" s="471" t="s">
        <v>71</v>
      </c>
      <c r="O133" s="472">
        <f>E139</f>
        <v>0</v>
      </c>
      <c r="P133" s="479" t="s">
        <v>319</v>
      </c>
      <c r="Q133" s="80"/>
      <c r="R133" s="80"/>
      <c r="S133" s="80"/>
      <c r="T133" s="55"/>
      <c r="U133" s="239"/>
      <c r="V133" s="52"/>
      <c r="W133" s="52"/>
      <c r="X133" s="52"/>
      <c r="Y133" s="247"/>
      <c r="Z133" s="246"/>
      <c r="AA133" s="798"/>
      <c r="AB133" s="433"/>
      <c r="AC133" s="118"/>
      <c r="AD133" s="52"/>
      <c r="AE133" s="52"/>
      <c r="AF133" s="214"/>
    </row>
    <row r="134" spans="1:40" ht="16" x14ac:dyDescent="0.2">
      <c r="A134" s="522"/>
      <c r="B134" s="84"/>
      <c r="C134" s="135"/>
      <c r="D134" s="135"/>
      <c r="E134" s="523"/>
      <c r="F134" s="520"/>
      <c r="G134" s="535"/>
      <c r="H134" s="285"/>
      <c r="I134" s="285"/>
      <c r="J134" s="285"/>
      <c r="K134" s="136"/>
      <c r="L134" s="137"/>
      <c r="M134" s="137"/>
      <c r="N134" s="473" t="s">
        <v>72</v>
      </c>
      <c r="O134" s="474">
        <f>I116</f>
        <v>0</v>
      </c>
      <c r="P134" s="478" t="s">
        <v>311</v>
      </c>
      <c r="Q134" s="80"/>
      <c r="R134" s="80"/>
      <c r="S134" s="80"/>
      <c r="T134" s="55"/>
      <c r="U134" s="239"/>
      <c r="V134" s="52"/>
      <c r="W134" s="52"/>
      <c r="X134" s="52"/>
      <c r="Y134" s="247"/>
      <c r="Z134" s="246"/>
      <c r="AA134" s="798"/>
      <c r="AB134" s="433"/>
      <c r="AC134" s="118"/>
      <c r="AD134" s="52"/>
      <c r="AE134" s="52"/>
      <c r="AF134" s="214"/>
    </row>
    <row r="135" spans="1:40" ht="16" x14ac:dyDescent="0.2">
      <c r="A135" s="524"/>
      <c r="B135" s="525"/>
      <c r="C135" s="80"/>
      <c r="D135" s="80"/>
      <c r="E135" s="149"/>
      <c r="F135" s="85"/>
      <c r="G135" s="535"/>
      <c r="H135" s="285"/>
      <c r="I135" s="285"/>
      <c r="J135" s="285"/>
      <c r="K135" s="136"/>
      <c r="L135" s="137"/>
      <c r="M135" s="137"/>
      <c r="N135" s="467" t="s">
        <v>308</v>
      </c>
      <c r="O135" s="468">
        <v>0</v>
      </c>
      <c r="P135" s="277" t="s">
        <v>186</v>
      </c>
      <c r="Q135" s="80"/>
      <c r="R135" s="80"/>
      <c r="S135" s="80"/>
      <c r="T135" s="55"/>
      <c r="U135" s="239"/>
      <c r="V135" s="52"/>
      <c r="W135" s="196"/>
      <c r="X135" s="52"/>
      <c r="Y135" s="251"/>
      <c r="Z135" s="118"/>
      <c r="AA135" s="798"/>
      <c r="AB135" s="797"/>
      <c r="AC135" s="118"/>
      <c r="AD135" s="52"/>
      <c r="AE135" s="52"/>
      <c r="AF135" s="214"/>
    </row>
    <row r="136" spans="1:40" ht="16" x14ac:dyDescent="0.2">
      <c r="A136" s="524"/>
      <c r="B136" s="525"/>
      <c r="C136" s="80"/>
      <c r="D136" s="80"/>
      <c r="E136" s="149"/>
      <c r="F136" s="85"/>
      <c r="G136" s="535"/>
      <c r="H136" s="137"/>
      <c r="I136" s="136"/>
      <c r="J136" s="171"/>
      <c r="K136" s="80"/>
      <c r="L136" s="137"/>
      <c r="M136" s="137"/>
      <c r="N136" s="475" t="s">
        <v>74</v>
      </c>
      <c r="O136" s="468" t="e">
        <f>#REF!-I116</f>
        <v>#REF!</v>
      </c>
      <c r="P136" s="298" t="s">
        <v>312</v>
      </c>
      <c r="Q136" s="80"/>
      <c r="R136" s="150"/>
      <c r="S136" s="80"/>
      <c r="T136" s="55"/>
      <c r="U136" s="239"/>
      <c r="V136" s="52"/>
      <c r="W136" s="52"/>
      <c r="X136" s="52"/>
      <c r="Y136" s="74"/>
      <c r="Z136" s="118"/>
      <c r="AA136" s="434"/>
      <c r="AB136" s="797"/>
      <c r="AC136" s="118"/>
      <c r="AD136" s="52"/>
      <c r="AE136" s="52"/>
      <c r="AF136" s="214"/>
    </row>
    <row r="137" spans="1:40" ht="30" x14ac:dyDescent="0.2">
      <c r="A137" s="524"/>
      <c r="B137" s="81"/>
      <c r="C137" s="80"/>
      <c r="D137" s="80"/>
      <c r="E137" s="149"/>
      <c r="F137" s="85"/>
      <c r="G137" s="547"/>
      <c r="H137" s="137"/>
      <c r="I137" s="192"/>
      <c r="J137" s="171"/>
      <c r="K137" s="80"/>
      <c r="L137" s="193"/>
      <c r="M137" s="230">
        <f>L131-L137</f>
        <v>0</v>
      </c>
      <c r="N137" s="467" t="s">
        <v>75</v>
      </c>
      <c r="O137" s="468" t="e">
        <f>SUM(O131:O133)-SUM(O134:O136)</f>
        <v>#REF!</v>
      </c>
      <c r="P137" s="273" t="s">
        <v>313</v>
      </c>
      <c r="Q137" s="80"/>
      <c r="R137" s="150"/>
      <c r="S137" s="80"/>
      <c r="T137" s="55"/>
      <c r="U137" s="239"/>
      <c r="V137" s="52"/>
      <c r="W137" s="60"/>
      <c r="X137" s="52"/>
      <c r="Y137" s="74"/>
      <c r="Z137" s="118"/>
      <c r="AA137" s="798"/>
      <c r="AB137" s="433"/>
      <c r="AC137" s="118"/>
      <c r="AD137" s="52"/>
      <c r="AE137" s="52"/>
      <c r="AF137" s="214"/>
    </row>
    <row r="138" spans="1:40" ht="16" x14ac:dyDescent="0.2">
      <c r="A138" s="423"/>
      <c r="B138" s="84"/>
      <c r="C138" s="135"/>
      <c r="D138" s="135"/>
      <c r="E138" s="85"/>
      <c r="F138" s="85"/>
      <c r="G138" s="144"/>
      <c r="H138" s="544"/>
      <c r="I138" s="192"/>
      <c r="J138" s="152"/>
      <c r="K138" s="171"/>
      <c r="L138" s="193"/>
      <c r="M138" s="137"/>
      <c r="N138" s="138"/>
      <c r="O138" s="142"/>
      <c r="P138" s="137"/>
      <c r="Q138" s="80"/>
      <c r="R138" s="150"/>
      <c r="S138" s="80"/>
      <c r="T138" s="55"/>
      <c r="U138" s="239"/>
      <c r="V138" s="52"/>
      <c r="W138" s="52"/>
      <c r="X138" s="52"/>
      <c r="Y138" s="74"/>
      <c r="Z138" s="118"/>
      <c r="AA138" s="798"/>
      <c r="AB138" s="433"/>
      <c r="AC138" s="118"/>
      <c r="AD138" s="52"/>
      <c r="AE138" s="52"/>
      <c r="AF138" s="214"/>
    </row>
    <row r="139" spans="1:40" ht="16" x14ac:dyDescent="0.2">
      <c r="A139" s="522"/>
      <c r="B139" s="84"/>
      <c r="C139" s="135"/>
      <c r="D139" s="135"/>
      <c r="E139" s="527"/>
      <c r="F139" s="85"/>
      <c r="G139" s="535"/>
      <c r="H139" s="539"/>
      <c r="I139" s="192"/>
      <c r="J139" s="171"/>
      <c r="K139" s="80"/>
      <c r="L139" s="137"/>
      <c r="M139" s="137"/>
      <c r="N139" s="138"/>
      <c r="O139" s="142"/>
      <c r="P139" s="137"/>
      <c r="Q139" s="80"/>
      <c r="R139" s="150"/>
      <c r="S139" s="80"/>
      <c r="T139" s="55"/>
      <c r="U139" s="239"/>
      <c r="V139" s="52"/>
      <c r="W139" s="52"/>
      <c r="X139" s="52"/>
      <c r="Y139" s="52"/>
      <c r="Z139" s="118"/>
      <c r="AA139" s="434"/>
      <c r="AB139" s="433"/>
      <c r="AC139" s="118"/>
      <c r="AD139" s="52"/>
      <c r="AE139" s="52"/>
      <c r="AF139" s="214"/>
    </row>
    <row r="140" spans="1:40" x14ac:dyDescent="0.25">
      <c r="A140" s="530"/>
      <c r="B140" s="531"/>
      <c r="C140" s="136"/>
      <c r="D140" s="136"/>
      <c r="E140" s="532"/>
      <c r="F140" s="85"/>
      <c r="G140" s="535"/>
      <c r="H140" s="539"/>
      <c r="I140" s="136"/>
      <c r="J140" s="548"/>
      <c r="K140" s="80"/>
      <c r="L140" s="152"/>
      <c r="M140" s="137"/>
      <c r="N140" s="141"/>
      <c r="O140" s="80"/>
      <c r="P140" s="137"/>
      <c r="Q140" s="80"/>
      <c r="R140" s="150"/>
      <c r="S140" s="80"/>
      <c r="T140" s="55"/>
      <c r="U140" s="239"/>
      <c r="V140" s="60"/>
      <c r="W140" s="52"/>
      <c r="X140" s="52"/>
      <c r="Y140" s="52"/>
      <c r="Z140" s="118"/>
      <c r="AA140" s="798"/>
      <c r="AB140" s="433"/>
      <c r="AC140" s="118"/>
      <c r="AD140" s="52"/>
      <c r="AE140" s="52"/>
      <c r="AF140" s="214"/>
    </row>
    <row r="141" spans="1:40" ht="16" x14ac:dyDescent="0.2">
      <c r="A141" s="423"/>
      <c r="B141" s="81"/>
      <c r="C141" s="80"/>
      <c r="D141" s="80"/>
      <c r="E141" s="85"/>
      <c r="F141" s="404"/>
      <c r="G141" s="144"/>
      <c r="H141" s="539"/>
      <c r="I141" s="136"/>
      <c r="J141" s="171"/>
      <c r="K141" s="80"/>
      <c r="L141" s="137"/>
      <c r="M141" s="140"/>
      <c r="N141" s="138"/>
      <c r="O141" s="80"/>
      <c r="P141" s="137"/>
      <c r="Q141" s="80"/>
      <c r="R141" s="80"/>
      <c r="S141" s="80"/>
      <c r="T141" s="55"/>
      <c r="U141" s="239"/>
      <c r="V141" s="52"/>
      <c r="W141" s="52"/>
      <c r="X141" s="52"/>
      <c r="Y141" s="52"/>
      <c r="Z141" s="118"/>
      <c r="AA141" s="798"/>
      <c r="AB141" s="433"/>
      <c r="AC141" s="118"/>
      <c r="AD141" s="52"/>
      <c r="AE141" s="52"/>
      <c r="AF141" s="214"/>
    </row>
    <row r="142" spans="1:40" ht="16" x14ac:dyDescent="0.2">
      <c r="A142" s="423"/>
      <c r="B142" s="81"/>
      <c r="C142" s="135"/>
      <c r="D142" s="149"/>
      <c r="E142" s="85"/>
      <c r="F142" s="85"/>
      <c r="G142" s="144"/>
      <c r="H142" s="539"/>
      <c r="I142" s="136"/>
      <c r="J142" s="171"/>
      <c r="K142" s="171"/>
      <c r="L142" s="137"/>
      <c r="M142" s="137"/>
      <c r="N142" s="136"/>
      <c r="O142" s="136"/>
      <c r="P142" s="138"/>
      <c r="Q142" s="80"/>
      <c r="R142" s="80"/>
      <c r="S142" s="80"/>
      <c r="T142" s="55"/>
      <c r="U142" s="239"/>
      <c r="V142" s="52"/>
      <c r="W142" s="52"/>
      <c r="X142" s="52"/>
      <c r="Y142" s="52"/>
      <c r="Z142" s="118"/>
      <c r="AA142" s="118"/>
      <c r="AB142" s="223"/>
      <c r="AC142" s="118"/>
      <c r="AD142" s="52"/>
      <c r="AE142" s="52"/>
      <c r="AF142" s="214"/>
    </row>
    <row r="143" spans="1:40" ht="16" x14ac:dyDescent="0.2">
      <c r="A143" s="423"/>
      <c r="B143" s="81"/>
      <c r="C143" s="80"/>
      <c r="D143" s="82"/>
      <c r="E143" s="85"/>
      <c r="F143" s="528"/>
      <c r="G143" s="535"/>
      <c r="H143" s="137"/>
      <c r="I143" s="192"/>
      <c r="J143" s="171"/>
      <c r="K143" s="80"/>
      <c r="L143" s="136"/>
      <c r="M143" s="136"/>
      <c r="N143" s="136"/>
      <c r="O143" s="136"/>
      <c r="P143" s="139"/>
      <c r="Q143" s="80"/>
      <c r="R143" s="136"/>
      <c r="S143" s="136"/>
      <c r="Z143" s="121"/>
      <c r="AA143" s="434"/>
      <c r="AB143" s="433"/>
      <c r="AC143" s="121"/>
    </row>
    <row r="144" spans="1:40" ht="16" x14ac:dyDescent="0.2">
      <c r="A144" s="423"/>
      <c r="B144" s="81"/>
      <c r="C144" s="80"/>
      <c r="D144" s="82"/>
      <c r="E144" s="85"/>
      <c r="F144" s="528"/>
      <c r="G144" s="535"/>
      <c r="H144" s="137"/>
      <c r="I144" s="192"/>
      <c r="J144" s="171"/>
      <c r="K144" s="80"/>
      <c r="L144" s="136"/>
      <c r="M144" s="136"/>
      <c r="N144" s="136"/>
      <c r="O144" s="136"/>
      <c r="P144" s="139"/>
      <c r="Q144" s="136"/>
      <c r="R144" s="136"/>
      <c r="S144" s="136"/>
      <c r="Z144" s="121"/>
      <c r="AA144" s="434"/>
      <c r="AB144" s="433"/>
      <c r="AC144" s="121"/>
    </row>
    <row r="145" spans="1:29" ht="16" x14ac:dyDescent="0.2">
      <c r="A145" s="423"/>
      <c r="B145" s="81"/>
      <c r="C145" s="135"/>
      <c r="D145" s="533"/>
      <c r="E145" s="85"/>
      <c r="F145" s="528"/>
      <c r="G145" s="549"/>
      <c r="H145" s="136"/>
      <c r="I145" s="136"/>
      <c r="J145" s="136"/>
      <c r="K145" s="80"/>
      <c r="L145" s="136"/>
      <c r="M145" s="136"/>
      <c r="N145" s="192"/>
      <c r="O145" s="192"/>
      <c r="P145" s="139"/>
      <c r="Q145" s="136"/>
      <c r="R145" s="136"/>
      <c r="S145" s="136"/>
      <c r="Z145" s="121"/>
      <c r="AA145" s="434"/>
      <c r="AB145" s="433"/>
      <c r="AC145" s="121"/>
    </row>
    <row r="146" spans="1:29" ht="16" x14ac:dyDescent="0.2">
      <c r="A146" s="423"/>
      <c r="B146" s="81"/>
      <c r="C146" s="534"/>
      <c r="D146" s="149"/>
      <c r="E146" s="85"/>
      <c r="F146" s="528"/>
      <c r="G146" s="535"/>
      <c r="H146" s="143"/>
      <c r="I146" s="152"/>
      <c r="J146" s="152"/>
      <c r="K146" s="136"/>
      <c r="L146" s="136"/>
      <c r="M146" s="192"/>
      <c r="N146" s="193"/>
      <c r="O146" s="192"/>
      <c r="P146" s="139"/>
      <c r="Q146" s="136"/>
      <c r="R146" s="136"/>
      <c r="S146" s="136"/>
      <c r="Z146" s="121"/>
      <c r="AA146" s="434"/>
      <c r="AB146" s="433"/>
      <c r="AC146" s="121"/>
    </row>
    <row r="147" spans="1:29" ht="16" x14ac:dyDescent="0.2">
      <c r="A147" s="423"/>
      <c r="B147" s="81"/>
      <c r="C147" s="535"/>
      <c r="D147" s="536"/>
      <c r="E147" s="136"/>
      <c r="F147" s="528"/>
      <c r="G147" s="549"/>
      <c r="H147" s="136"/>
      <c r="I147" s="136"/>
      <c r="J147" s="136"/>
      <c r="K147" s="152"/>
      <c r="L147" s="136"/>
      <c r="M147" s="192"/>
      <c r="N147" s="193"/>
      <c r="O147" s="192"/>
      <c r="P147" s="139"/>
      <c r="Q147" s="136"/>
      <c r="R147" s="136"/>
      <c r="S147" s="136"/>
      <c r="Z147" s="121"/>
      <c r="AA147" s="434"/>
      <c r="AB147" s="433"/>
      <c r="AC147" s="121"/>
    </row>
    <row r="148" spans="1:29" ht="16" x14ac:dyDescent="0.2">
      <c r="A148" s="423"/>
      <c r="B148" s="81"/>
      <c r="C148" s="534"/>
      <c r="D148" s="149"/>
      <c r="E148" s="85"/>
      <c r="F148" s="528"/>
      <c r="I148" s="20"/>
      <c r="J148" s="20"/>
      <c r="K148" s="136"/>
      <c r="M148" s="192"/>
      <c r="N148" s="194"/>
      <c r="O148" s="192"/>
      <c r="P148" s="139"/>
      <c r="Q148" s="136"/>
      <c r="R148" s="136"/>
      <c r="S148" s="136"/>
      <c r="Z148" s="121"/>
      <c r="AA148" s="434"/>
      <c r="AB148" s="433"/>
      <c r="AC148" s="121"/>
    </row>
    <row r="149" spans="1:29" ht="18" x14ac:dyDescent="0.2">
      <c r="A149" s="423"/>
      <c r="B149" s="81"/>
      <c r="C149" s="537"/>
      <c r="D149" s="538"/>
      <c r="E149" s="85"/>
      <c r="F149" s="528"/>
      <c r="K149" s="136"/>
      <c r="L149" s="136"/>
      <c r="M149" s="192"/>
      <c r="N149" s="194"/>
      <c r="O149" s="192"/>
      <c r="P149" s="151"/>
      <c r="Q149" s="136"/>
      <c r="R149" s="136"/>
      <c r="S149" s="136"/>
      <c r="Z149" s="121"/>
      <c r="AA149" s="122"/>
      <c r="AB149" s="225"/>
      <c r="AC149" s="121"/>
    </row>
    <row r="150" spans="1:29" ht="16" x14ac:dyDescent="0.2">
      <c r="A150" s="530"/>
      <c r="B150" s="531"/>
      <c r="C150" s="80"/>
      <c r="D150" s="80"/>
      <c r="E150" s="85"/>
      <c r="F150" s="528"/>
      <c r="K150" s="136"/>
      <c r="L150" s="136"/>
      <c r="M150" s="192"/>
      <c r="N150" s="193"/>
      <c r="O150" s="192"/>
      <c r="P150" s="136"/>
      <c r="Q150" s="152"/>
      <c r="R150" s="136"/>
      <c r="S150" s="136"/>
      <c r="Z150" s="121"/>
      <c r="AA150" s="798"/>
      <c r="AB150" s="433"/>
      <c r="AC150" s="121"/>
    </row>
    <row r="151" spans="1:29" ht="16" x14ac:dyDescent="0.2">
      <c r="C151" s="52"/>
      <c r="D151" s="52"/>
      <c r="E151" s="54"/>
      <c r="K151" s="136"/>
      <c r="L151" s="136"/>
      <c r="M151" s="192"/>
      <c r="N151" s="193"/>
      <c r="O151" s="192"/>
      <c r="P151" s="136"/>
      <c r="Q151" s="136"/>
      <c r="R151" s="136"/>
      <c r="S151" s="136"/>
      <c r="Z151" s="121"/>
      <c r="AA151" s="798"/>
      <c r="AB151" s="433"/>
      <c r="AC151" s="121"/>
    </row>
    <row r="152" spans="1:29" x14ac:dyDescent="0.25">
      <c r="K152" s="136"/>
      <c r="L152" s="136"/>
      <c r="M152" s="192"/>
      <c r="N152" s="193"/>
      <c r="O152" s="192"/>
      <c r="P152" s="136"/>
      <c r="Q152" s="136"/>
      <c r="R152" s="136"/>
      <c r="S152" s="136"/>
      <c r="Z152" s="121"/>
      <c r="AA152" s="798"/>
      <c r="AB152" s="433"/>
      <c r="AC152" s="121"/>
    </row>
    <row r="153" spans="1:29" x14ac:dyDescent="0.25">
      <c r="K153" s="136"/>
      <c r="L153" s="137"/>
      <c r="M153" s="192"/>
      <c r="N153" s="192"/>
      <c r="O153" s="136"/>
      <c r="P153" s="136"/>
      <c r="Q153" s="136"/>
      <c r="R153" s="136"/>
      <c r="S153" s="136"/>
      <c r="Z153" s="121"/>
      <c r="AA153" s="798"/>
      <c r="AB153" s="433"/>
      <c r="AC153" s="121"/>
    </row>
    <row r="154" spans="1:29" x14ac:dyDescent="0.25">
      <c r="K154" s="136"/>
      <c r="L154" s="137"/>
      <c r="M154" s="192"/>
      <c r="N154" s="192"/>
      <c r="O154" s="192"/>
      <c r="P154" s="136"/>
      <c r="Q154" s="136"/>
      <c r="R154" s="136"/>
      <c r="S154" s="136"/>
      <c r="Z154" s="121"/>
      <c r="AA154" s="434"/>
      <c r="AB154" s="433"/>
      <c r="AC154" s="121"/>
    </row>
    <row r="155" spans="1:29" x14ac:dyDescent="0.25">
      <c r="K155" s="136"/>
      <c r="L155" s="137"/>
      <c r="M155" s="192"/>
      <c r="N155" s="192"/>
      <c r="O155" s="192"/>
      <c r="P155" s="136"/>
      <c r="Q155" s="136"/>
      <c r="R155" s="136"/>
      <c r="S155" s="136"/>
      <c r="Z155" s="121"/>
      <c r="AA155" s="121"/>
      <c r="AB155" s="226"/>
      <c r="AC155" s="121"/>
    </row>
    <row r="156" spans="1:29" x14ac:dyDescent="0.25">
      <c r="K156" s="136"/>
      <c r="L156" s="137"/>
      <c r="M156" s="192"/>
      <c r="N156" s="136"/>
      <c r="O156" s="136"/>
      <c r="P156" s="136"/>
      <c r="Q156" s="136"/>
      <c r="R156" s="136"/>
      <c r="S156" s="136"/>
      <c r="Z156" s="121"/>
      <c r="AA156" s="121"/>
      <c r="AB156" s="226"/>
      <c r="AC156" s="121"/>
    </row>
    <row r="157" spans="1:29" x14ac:dyDescent="0.25">
      <c r="K157" s="136"/>
      <c r="L157" s="137"/>
      <c r="M157" s="136"/>
      <c r="N157" s="136"/>
      <c r="O157" s="136"/>
      <c r="P157" s="136"/>
      <c r="Q157" s="136"/>
      <c r="R157" s="136"/>
      <c r="S157" s="136"/>
      <c r="Z157" s="121"/>
      <c r="AA157" s="121"/>
      <c r="AB157" s="226"/>
      <c r="AC157" s="121"/>
    </row>
    <row r="158" spans="1:29" x14ac:dyDescent="0.25">
      <c r="K158" s="136"/>
      <c r="L158" s="137"/>
      <c r="M158" s="136"/>
      <c r="N158" s="136"/>
      <c r="O158" s="136"/>
      <c r="P158" s="136"/>
      <c r="Q158" s="136"/>
      <c r="R158" s="136"/>
      <c r="S158" s="136"/>
      <c r="Z158" s="121"/>
      <c r="AA158" s="121"/>
      <c r="AB158" s="226"/>
      <c r="AC158" s="121"/>
    </row>
    <row r="159" spans="1:29" x14ac:dyDescent="0.25">
      <c r="K159" s="136"/>
      <c r="L159" s="137"/>
      <c r="M159" s="136"/>
      <c r="N159" s="136"/>
      <c r="O159" s="136"/>
      <c r="P159" s="136"/>
      <c r="Q159" s="136"/>
      <c r="R159" s="136"/>
      <c r="S159" s="136"/>
      <c r="Z159" s="121"/>
      <c r="AA159" s="121"/>
      <c r="AB159" s="226"/>
      <c r="AC159" s="121"/>
    </row>
    <row r="160" spans="1:29" x14ac:dyDescent="0.25">
      <c r="K160" s="136"/>
      <c r="L160" s="136"/>
      <c r="M160" s="136"/>
      <c r="N160" s="136"/>
      <c r="O160" s="136"/>
      <c r="P160" s="136"/>
      <c r="Q160" s="136"/>
      <c r="R160" s="136"/>
      <c r="S160" s="136"/>
      <c r="Z160" s="121"/>
      <c r="AA160" s="121"/>
      <c r="AB160" s="226"/>
      <c r="AC160" s="121"/>
    </row>
    <row r="161" spans="11:29" x14ac:dyDescent="0.25">
      <c r="K161" s="136"/>
      <c r="L161" s="136"/>
      <c r="M161" s="136"/>
      <c r="N161" s="136"/>
      <c r="O161" s="136"/>
      <c r="P161" s="136"/>
      <c r="Q161" s="136"/>
      <c r="R161" s="136"/>
      <c r="S161" s="136"/>
      <c r="Z161" s="121"/>
      <c r="AA161" s="121"/>
      <c r="AB161" s="226"/>
      <c r="AC161" s="121"/>
    </row>
    <row r="162" spans="11:29" x14ac:dyDescent="0.25">
      <c r="K162" s="136"/>
      <c r="L162" s="136"/>
      <c r="M162" s="136"/>
      <c r="N162" s="136"/>
      <c r="O162" s="124"/>
      <c r="P162" s="136"/>
      <c r="Q162" s="136"/>
      <c r="R162" s="136"/>
      <c r="S162" s="136"/>
      <c r="Z162" s="121"/>
      <c r="AA162" s="121"/>
      <c r="AB162" s="226"/>
      <c r="AC162" s="121"/>
    </row>
    <row r="163" spans="11:29" x14ac:dyDescent="0.25">
      <c r="K163" s="136"/>
      <c r="L163" s="136"/>
      <c r="M163" s="136"/>
      <c r="N163" s="136"/>
      <c r="O163" s="124"/>
      <c r="Q163" s="136"/>
      <c r="Z163" s="121"/>
      <c r="AA163" s="121"/>
      <c r="AB163" s="226"/>
      <c r="AC163" s="121"/>
    </row>
    <row r="164" spans="11:29" x14ac:dyDescent="0.25">
      <c r="K164" s="136"/>
      <c r="L164" s="136"/>
      <c r="M164" s="136"/>
      <c r="N164" s="136"/>
      <c r="O164" s="124"/>
      <c r="Z164" s="121"/>
      <c r="AA164" s="121"/>
      <c r="AB164" s="226"/>
      <c r="AC164" s="121"/>
    </row>
    <row r="165" spans="11:29" x14ac:dyDescent="0.25">
      <c r="K165" s="136"/>
      <c r="L165" s="136"/>
      <c r="M165" s="136"/>
      <c r="N165" s="136"/>
      <c r="O165" s="124"/>
      <c r="Z165" s="121"/>
      <c r="AA165" s="121"/>
      <c r="AB165" s="226"/>
      <c r="AC165" s="121"/>
    </row>
    <row r="166" spans="11:29" x14ac:dyDescent="0.25">
      <c r="K166" s="136"/>
      <c r="L166" s="136"/>
      <c r="M166" s="136"/>
      <c r="N166" s="136"/>
      <c r="O166" s="124"/>
      <c r="Z166" s="121"/>
      <c r="AA166" s="121"/>
      <c r="AB166" s="226"/>
      <c r="AC166" s="121"/>
    </row>
    <row r="167" spans="11:29" x14ac:dyDescent="0.25">
      <c r="K167" s="136"/>
      <c r="L167" s="136"/>
      <c r="M167" s="136"/>
      <c r="N167" s="136"/>
      <c r="O167" s="124"/>
      <c r="Z167" s="121"/>
      <c r="AA167" s="121"/>
      <c r="AB167" s="226"/>
      <c r="AC167" s="121"/>
    </row>
    <row r="168" spans="11:29" x14ac:dyDescent="0.25">
      <c r="K168" s="136"/>
      <c r="L168" s="136"/>
      <c r="M168" s="136"/>
      <c r="N168" s="136"/>
      <c r="O168" s="124"/>
      <c r="Z168" s="121"/>
      <c r="AA168" s="121"/>
      <c r="AB168" s="226"/>
      <c r="AC168" s="121"/>
    </row>
    <row r="169" spans="11:29" x14ac:dyDescent="0.25">
      <c r="K169" s="136"/>
      <c r="L169" s="136"/>
      <c r="M169" s="136"/>
      <c r="N169" s="136"/>
      <c r="O169" s="124"/>
      <c r="Z169" s="121"/>
      <c r="AA169" s="121"/>
      <c r="AB169" s="226"/>
      <c r="AC169" s="121"/>
    </row>
    <row r="170" spans="11:29" x14ac:dyDescent="0.25">
      <c r="K170" s="136"/>
      <c r="L170" s="136"/>
      <c r="M170" s="136"/>
      <c r="N170" s="136"/>
      <c r="O170" s="124"/>
      <c r="Z170" s="121"/>
      <c r="AA170" s="121"/>
      <c r="AB170" s="226"/>
      <c r="AC170" s="121"/>
    </row>
    <row r="171" spans="11:29" x14ac:dyDescent="0.25">
      <c r="K171" s="136"/>
      <c r="L171" s="136"/>
      <c r="M171" s="136"/>
      <c r="N171" s="136"/>
      <c r="O171" s="124"/>
      <c r="Z171" s="121"/>
      <c r="AA171" s="121"/>
      <c r="AB171" s="226"/>
      <c r="AC171" s="121"/>
    </row>
    <row r="172" spans="11:29" x14ac:dyDescent="0.25">
      <c r="K172" s="136"/>
      <c r="L172" s="136"/>
      <c r="M172" s="136"/>
      <c r="N172" s="136"/>
      <c r="O172" s="124"/>
      <c r="Z172" s="121"/>
      <c r="AA172" s="121"/>
      <c r="AB172" s="226"/>
      <c r="AC172" s="121"/>
    </row>
    <row r="173" spans="11:29" x14ac:dyDescent="0.25">
      <c r="K173" s="136"/>
      <c r="L173" s="136"/>
      <c r="M173" s="136"/>
      <c r="N173" s="136"/>
      <c r="O173" s="124"/>
      <c r="Z173" s="121"/>
      <c r="AA173" s="121"/>
      <c r="AB173" s="226"/>
      <c r="AC173" s="121"/>
    </row>
    <row r="174" spans="11:29" x14ac:dyDescent="0.25">
      <c r="K174" s="136"/>
      <c r="L174" s="136"/>
      <c r="M174" s="136"/>
      <c r="N174" s="136"/>
      <c r="O174" s="124"/>
      <c r="Z174" s="121"/>
      <c r="AA174" s="121"/>
      <c r="AB174" s="226"/>
      <c r="AC174" s="121"/>
    </row>
    <row r="175" spans="11:29" x14ac:dyDescent="0.25">
      <c r="K175" s="136"/>
      <c r="L175" s="136"/>
      <c r="M175" s="136"/>
      <c r="N175" s="136"/>
      <c r="O175" s="124"/>
      <c r="Z175" s="121"/>
      <c r="AA175" s="121"/>
      <c r="AB175" s="226"/>
      <c r="AC175" s="121"/>
    </row>
    <row r="176" spans="11:29" x14ac:dyDescent="0.25">
      <c r="K176" s="136"/>
      <c r="L176" s="136"/>
      <c r="M176" s="136"/>
      <c r="N176" s="136"/>
      <c r="O176" s="124"/>
      <c r="Z176" s="121"/>
      <c r="AA176" s="121"/>
      <c r="AB176" s="226"/>
      <c r="AC176" s="121"/>
    </row>
    <row r="177" spans="11:29" x14ac:dyDescent="0.25">
      <c r="K177" s="136"/>
      <c r="L177" s="136"/>
      <c r="M177" s="136"/>
      <c r="N177" s="136"/>
      <c r="O177" s="124"/>
      <c r="Z177" s="121"/>
      <c r="AA177" s="121"/>
      <c r="AB177" s="226"/>
      <c r="AC177" s="121"/>
    </row>
    <row r="178" spans="11:29" x14ac:dyDescent="0.25">
      <c r="K178" s="136"/>
      <c r="L178" s="136"/>
      <c r="M178" s="136"/>
      <c r="N178" s="136"/>
      <c r="O178" s="124"/>
      <c r="Z178" s="121"/>
      <c r="AA178" s="121"/>
      <c r="AB178" s="226"/>
      <c r="AC178" s="121"/>
    </row>
    <row r="179" spans="11:29" x14ac:dyDescent="0.25">
      <c r="K179" s="136"/>
      <c r="L179" s="136"/>
      <c r="M179" s="136"/>
      <c r="N179" s="136"/>
      <c r="O179" s="124"/>
      <c r="Z179" s="121"/>
      <c r="AA179" s="121"/>
      <c r="AB179" s="226"/>
      <c r="AC179" s="121"/>
    </row>
    <row r="180" spans="11:29" x14ac:dyDescent="0.25">
      <c r="K180" s="136"/>
      <c r="L180" s="136"/>
      <c r="M180" s="136"/>
      <c r="N180" s="124"/>
      <c r="O180" s="124"/>
      <c r="Z180" s="121"/>
      <c r="AA180" s="121"/>
      <c r="AB180" s="226"/>
      <c r="AC180" s="121"/>
    </row>
    <row r="181" spans="11:29" x14ac:dyDescent="0.25">
      <c r="K181" s="136"/>
      <c r="M181" s="124"/>
      <c r="N181" s="124"/>
      <c r="O181" s="124"/>
      <c r="Z181" s="121"/>
      <c r="AA181" s="121"/>
      <c r="AB181" s="226"/>
      <c r="AC181" s="121"/>
    </row>
    <row r="182" spans="11:29" x14ac:dyDescent="0.25">
      <c r="K182" s="136"/>
      <c r="M182" s="124"/>
      <c r="N182" s="124"/>
      <c r="O182" s="124"/>
      <c r="Z182" s="121"/>
      <c r="AA182" s="121"/>
      <c r="AB182" s="226"/>
      <c r="AC182" s="121"/>
    </row>
    <row r="183" spans="11:29" x14ac:dyDescent="0.25">
      <c r="K183" s="136"/>
      <c r="M183" s="124"/>
      <c r="N183" s="124"/>
      <c r="O183" s="124"/>
      <c r="Z183" s="121"/>
      <c r="AA183" s="121"/>
      <c r="AB183" s="226"/>
      <c r="AC183" s="121"/>
    </row>
    <row r="184" spans="11:29" x14ac:dyDescent="0.25">
      <c r="M184" s="124"/>
      <c r="N184" s="124"/>
      <c r="O184" s="124"/>
      <c r="Z184" s="121"/>
      <c r="AA184" s="121"/>
      <c r="AB184" s="226"/>
      <c r="AC184" s="121"/>
    </row>
    <row r="185" spans="11:29" x14ac:dyDescent="0.25">
      <c r="M185" s="124"/>
      <c r="N185" s="124"/>
      <c r="O185" s="124"/>
      <c r="Z185" s="121"/>
      <c r="AA185" s="121"/>
      <c r="AB185" s="226"/>
      <c r="AC185" s="121"/>
    </row>
    <row r="186" spans="11:29" x14ac:dyDescent="0.25">
      <c r="M186" s="124"/>
      <c r="N186" s="124"/>
      <c r="O186" s="124"/>
      <c r="Z186" s="121"/>
      <c r="AA186" s="121"/>
      <c r="AB186" s="226"/>
      <c r="AC186" s="121"/>
    </row>
    <row r="187" spans="11:29" x14ac:dyDescent="0.25">
      <c r="M187" s="124"/>
      <c r="N187" s="124"/>
      <c r="O187" s="124"/>
      <c r="Z187" s="121"/>
      <c r="AA187" s="121"/>
      <c r="AB187" s="226"/>
      <c r="AC187" s="121"/>
    </row>
    <row r="188" spans="11:29" x14ac:dyDescent="0.25">
      <c r="M188" s="124"/>
      <c r="N188" s="124"/>
      <c r="O188" s="124"/>
      <c r="Z188" s="121"/>
      <c r="AA188" s="121"/>
      <c r="AB188" s="226"/>
      <c r="AC188" s="121"/>
    </row>
    <row r="189" spans="11:29" x14ac:dyDescent="0.25">
      <c r="M189" s="124"/>
      <c r="N189" s="124"/>
      <c r="O189" s="124"/>
      <c r="Z189" s="121"/>
      <c r="AA189" s="121"/>
      <c r="AB189" s="226"/>
      <c r="AC189" s="121"/>
    </row>
    <row r="190" spans="11:29" x14ac:dyDescent="0.25">
      <c r="M190" s="124"/>
      <c r="N190" s="124"/>
      <c r="O190" s="124"/>
      <c r="Z190" s="121"/>
      <c r="AA190" s="121"/>
      <c r="AB190" s="226"/>
      <c r="AC190" s="121"/>
    </row>
    <row r="191" spans="11:29" x14ac:dyDescent="0.25">
      <c r="M191" s="124"/>
      <c r="Z191" s="121"/>
      <c r="AA191" s="121"/>
      <c r="AB191" s="226"/>
      <c r="AC191" s="121"/>
    </row>
    <row r="192" spans="11:29" x14ac:dyDescent="0.25">
      <c r="Z192" s="121"/>
      <c r="AA192" s="121"/>
      <c r="AB192" s="226"/>
      <c r="AC192" s="121"/>
    </row>
    <row r="193" spans="26:29" x14ac:dyDescent="0.25">
      <c r="Z193" s="121"/>
      <c r="AA193" s="121"/>
      <c r="AB193" s="226"/>
      <c r="AC193" s="121"/>
    </row>
    <row r="194" spans="26:29" x14ac:dyDescent="0.25">
      <c r="Z194" s="121"/>
      <c r="AA194" s="121"/>
      <c r="AB194" s="226"/>
      <c r="AC194" s="121"/>
    </row>
    <row r="195" spans="26:29" x14ac:dyDescent="0.25">
      <c r="Z195" s="121"/>
      <c r="AA195" s="121"/>
      <c r="AB195" s="226"/>
      <c r="AC195" s="121"/>
    </row>
    <row r="196" spans="26:29" x14ac:dyDescent="0.25">
      <c r="Z196" s="121"/>
      <c r="AA196" s="121"/>
      <c r="AB196" s="226"/>
      <c r="AC196" s="121"/>
    </row>
    <row r="197" spans="26:29" x14ac:dyDescent="0.25">
      <c r="Z197" s="121"/>
      <c r="AA197" s="121"/>
      <c r="AB197" s="226"/>
      <c r="AC197" s="121"/>
    </row>
    <row r="198" spans="26:29" x14ac:dyDescent="0.25">
      <c r="Z198" s="121"/>
      <c r="AA198" s="121"/>
      <c r="AB198" s="226"/>
      <c r="AC198" s="121"/>
    </row>
    <row r="199" spans="26:29" x14ac:dyDescent="0.25">
      <c r="Z199" s="121"/>
      <c r="AA199" s="121"/>
      <c r="AB199" s="226"/>
      <c r="AC199" s="121"/>
    </row>
    <row r="200" spans="26:29" x14ac:dyDescent="0.25">
      <c r="Z200" s="121"/>
      <c r="AA200" s="121"/>
      <c r="AB200" s="226"/>
      <c r="AC200" s="121"/>
    </row>
    <row r="201" spans="26:29" x14ac:dyDescent="0.25">
      <c r="Z201" s="121"/>
      <c r="AA201" s="121"/>
      <c r="AB201" s="226"/>
      <c r="AC201" s="121"/>
    </row>
    <row r="202" spans="26:29" x14ac:dyDescent="0.25">
      <c r="Z202" s="121"/>
      <c r="AA202" s="121"/>
      <c r="AB202" s="226"/>
      <c r="AC202" s="121"/>
    </row>
    <row r="203" spans="26:29" x14ac:dyDescent="0.25">
      <c r="Z203" s="121"/>
      <c r="AA203" s="121"/>
      <c r="AB203" s="226"/>
      <c r="AC203" s="121"/>
    </row>
    <row r="204" spans="26:29" x14ac:dyDescent="0.25">
      <c r="Z204" s="121"/>
      <c r="AA204" s="121"/>
      <c r="AB204" s="226"/>
      <c r="AC204" s="121"/>
    </row>
    <row r="205" spans="26:29" x14ac:dyDescent="0.25">
      <c r="Z205" s="121"/>
      <c r="AA205" s="121"/>
      <c r="AB205" s="226"/>
      <c r="AC205" s="121"/>
    </row>
    <row r="206" spans="26:29" x14ac:dyDescent="0.25">
      <c r="Z206" s="121"/>
      <c r="AA206" s="121"/>
      <c r="AB206" s="226"/>
      <c r="AC206" s="121"/>
    </row>
    <row r="207" spans="26:29" x14ac:dyDescent="0.25">
      <c r="Z207" s="121"/>
      <c r="AA207" s="121"/>
      <c r="AB207" s="226"/>
      <c r="AC207" s="121"/>
    </row>
    <row r="208" spans="26:29" x14ac:dyDescent="0.25">
      <c r="Z208" s="121"/>
      <c r="AA208" s="121"/>
      <c r="AB208" s="226"/>
      <c r="AC208" s="121"/>
    </row>
    <row r="209" spans="26:29" x14ac:dyDescent="0.25">
      <c r="Z209" s="121"/>
      <c r="AA209" s="121"/>
      <c r="AB209" s="226"/>
      <c r="AC209" s="121"/>
    </row>
    <row r="210" spans="26:29" x14ac:dyDescent="0.25">
      <c r="Z210" s="121"/>
      <c r="AA210" s="121"/>
      <c r="AB210" s="226"/>
      <c r="AC210" s="121"/>
    </row>
    <row r="211" spans="26:29" x14ac:dyDescent="0.25">
      <c r="Z211" s="121"/>
      <c r="AA211" s="121"/>
      <c r="AB211" s="226"/>
      <c r="AC211" s="121"/>
    </row>
    <row r="212" spans="26:29" x14ac:dyDescent="0.25">
      <c r="Z212" s="121"/>
      <c r="AA212" s="121"/>
      <c r="AB212" s="226"/>
      <c r="AC212" s="121"/>
    </row>
    <row r="213" spans="26:29" x14ac:dyDescent="0.25">
      <c r="Z213" s="121"/>
      <c r="AA213" s="121"/>
      <c r="AB213" s="226"/>
      <c r="AC213" s="121"/>
    </row>
    <row r="214" spans="26:29" x14ac:dyDescent="0.25">
      <c r="Z214" s="121"/>
      <c r="AA214" s="121"/>
      <c r="AB214" s="226"/>
      <c r="AC214" s="121"/>
    </row>
    <row r="215" spans="26:29" x14ac:dyDescent="0.25">
      <c r="Z215" s="121"/>
      <c r="AA215" s="121"/>
      <c r="AB215" s="226"/>
      <c r="AC215" s="121"/>
    </row>
    <row r="216" spans="26:29" x14ac:dyDescent="0.25">
      <c r="Z216" s="121"/>
      <c r="AA216" s="121"/>
      <c r="AB216" s="226"/>
      <c r="AC216" s="121"/>
    </row>
    <row r="217" spans="26:29" x14ac:dyDescent="0.25">
      <c r="Z217" s="121"/>
      <c r="AA217" s="121"/>
      <c r="AB217" s="226"/>
      <c r="AC217" s="121"/>
    </row>
    <row r="218" spans="26:29" x14ac:dyDescent="0.25">
      <c r="Z218" s="121"/>
      <c r="AA218" s="121"/>
      <c r="AB218" s="226"/>
      <c r="AC218" s="121"/>
    </row>
    <row r="219" spans="26:29" x14ac:dyDescent="0.25">
      <c r="Z219" s="121"/>
      <c r="AA219" s="121"/>
      <c r="AB219" s="226"/>
      <c r="AC219" s="121"/>
    </row>
    <row r="220" spans="26:29" x14ac:dyDescent="0.25">
      <c r="Z220" s="121"/>
      <c r="AA220" s="121"/>
      <c r="AB220" s="226"/>
      <c r="AC220" s="121"/>
    </row>
    <row r="221" spans="26:29" x14ac:dyDescent="0.25">
      <c r="Z221" s="121"/>
      <c r="AA221" s="121"/>
      <c r="AB221" s="226"/>
      <c r="AC221" s="121"/>
    </row>
    <row r="222" spans="26:29" x14ac:dyDescent="0.25">
      <c r="Z222" s="121"/>
      <c r="AA222" s="121"/>
      <c r="AB222" s="226"/>
      <c r="AC222" s="121"/>
    </row>
  </sheetData>
  <sortState xmlns:xlrd2="http://schemas.microsoft.com/office/spreadsheetml/2017/richdata2" ref="A50:G86">
    <sortCondition ref="A51:A86"/>
  </sortState>
  <mergeCells count="10">
    <mergeCell ref="A1:E1"/>
    <mergeCell ref="G128:J128"/>
    <mergeCell ref="Y131:Z131"/>
    <mergeCell ref="A90:C90"/>
    <mergeCell ref="G115:J115"/>
    <mergeCell ref="AA133:AA135"/>
    <mergeCell ref="AB135:AB136"/>
    <mergeCell ref="AA137:AA138"/>
    <mergeCell ref="AA140:AA141"/>
    <mergeCell ref="AA150:AA153"/>
  </mergeCells>
  <pageMargins left="0.7" right="0.7" top="0.75" bottom="0.75" header="0.3" footer="0.3"/>
  <pageSetup paperSize="9" scale="12" fitToHeight="2" orientation="portrait" horizontalDpi="0" verticalDpi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0128F-B6D7-5642-9C39-3FAC78F63F11}">
  <sheetPr>
    <pageSetUpPr fitToPage="1"/>
  </sheetPr>
  <dimension ref="A1:D35"/>
  <sheetViews>
    <sheetView topLeftCell="A4" workbookViewId="0">
      <selection activeCell="D13" sqref="D13"/>
    </sheetView>
  </sheetViews>
  <sheetFormatPr baseColWidth="10" defaultRowHeight="16" x14ac:dyDescent="0.2"/>
  <cols>
    <col min="1" max="1" width="42.83203125" style="12" customWidth="1"/>
    <col min="3" max="3" width="23.1640625" customWidth="1"/>
    <col min="4" max="4" width="22" customWidth="1"/>
  </cols>
  <sheetData>
    <row r="1" spans="1:4" ht="66" customHeight="1" x14ac:dyDescent="0.3">
      <c r="A1" s="848" t="s">
        <v>328</v>
      </c>
      <c r="B1" s="849"/>
      <c r="C1" s="849"/>
      <c r="D1" s="850"/>
    </row>
    <row r="2" spans="1:4" s="406" customFormat="1" ht="53" customHeight="1" x14ac:dyDescent="0.3">
      <c r="A2" s="750"/>
      <c r="B2" s="455"/>
      <c r="C2" s="669" t="s">
        <v>256</v>
      </c>
      <c r="D2" s="751" t="s">
        <v>257</v>
      </c>
    </row>
    <row r="3" spans="1:4" ht="25" customHeight="1" x14ac:dyDescent="0.2">
      <c r="A3" s="739" t="s">
        <v>258</v>
      </c>
      <c r="B3" s="9"/>
      <c r="C3" s="9">
        <v>33592</v>
      </c>
      <c r="D3" s="752">
        <v>49620.02</v>
      </c>
    </row>
    <row r="4" spans="1:4" ht="25" customHeight="1" x14ac:dyDescent="0.2">
      <c r="A4" s="739" t="s">
        <v>259</v>
      </c>
      <c r="B4" s="9"/>
      <c r="C4" s="9">
        <v>8500</v>
      </c>
      <c r="D4" s="752">
        <v>9154.7000000000007</v>
      </c>
    </row>
    <row r="5" spans="1:4" ht="25" customHeight="1" x14ac:dyDescent="0.2">
      <c r="A5" s="739" t="s">
        <v>267</v>
      </c>
      <c r="B5" s="9"/>
      <c r="C5" s="9">
        <v>20169</v>
      </c>
      <c r="D5" s="753">
        <f>'AGAR explanations 20_21'!E27</f>
        <v>19975.66</v>
      </c>
    </row>
    <row r="6" spans="1:4" ht="25" customHeight="1" x14ac:dyDescent="0.2">
      <c r="A6" s="739" t="s">
        <v>260</v>
      </c>
      <c r="B6" s="9"/>
      <c r="C6" s="9">
        <v>269</v>
      </c>
      <c r="D6" s="754">
        <f>'Income and expenditure '!$I$85</f>
        <v>7213.83</v>
      </c>
    </row>
    <row r="7" spans="1:4" ht="25" customHeight="1" x14ac:dyDescent="0.2">
      <c r="A7" s="755" t="s">
        <v>261</v>
      </c>
      <c r="B7" s="9"/>
      <c r="C7" s="9">
        <v>0</v>
      </c>
      <c r="D7" s="752">
        <v>0</v>
      </c>
    </row>
    <row r="8" spans="1:4" ht="25" customHeight="1" x14ac:dyDescent="0.2">
      <c r="A8" s="755" t="s">
        <v>262</v>
      </c>
      <c r="B8" s="9"/>
      <c r="C8" s="9">
        <v>12372</v>
      </c>
      <c r="D8" s="752">
        <f>'AGAR explanations 20_21'!B118</f>
        <v>6269.1499999999987</v>
      </c>
    </row>
    <row r="9" spans="1:4" ht="25" customHeight="1" x14ac:dyDescent="0.2">
      <c r="A9" s="755" t="s">
        <v>265</v>
      </c>
      <c r="B9" s="9"/>
      <c r="C9" s="9">
        <v>49620</v>
      </c>
      <c r="D9" s="752">
        <f>(D3+D4+D5)-(D6+D8)</f>
        <v>65267.400000000009</v>
      </c>
    </row>
    <row r="10" spans="1:4" ht="25" customHeight="1" x14ac:dyDescent="0.2">
      <c r="A10" s="739"/>
      <c r="B10" s="9"/>
      <c r="C10" s="9"/>
      <c r="D10" s="752"/>
    </row>
    <row r="11" spans="1:4" ht="25" customHeight="1" x14ac:dyDescent="0.2">
      <c r="A11" s="755" t="s">
        <v>266</v>
      </c>
      <c r="B11" s="9"/>
      <c r="C11" s="9">
        <v>49620</v>
      </c>
      <c r="D11" s="752">
        <f>D9</f>
        <v>65267.400000000009</v>
      </c>
    </row>
    <row r="12" spans="1:4" ht="25" customHeight="1" x14ac:dyDescent="0.2">
      <c r="A12" s="755" t="s">
        <v>263</v>
      </c>
      <c r="B12" s="9"/>
      <c r="C12" s="9"/>
      <c r="D12" s="752">
        <v>28183.97</v>
      </c>
    </row>
    <row r="13" spans="1:4" ht="25" customHeight="1" x14ac:dyDescent="0.2">
      <c r="A13" s="755" t="s">
        <v>264</v>
      </c>
      <c r="B13" s="9"/>
      <c r="C13" s="9">
        <v>0</v>
      </c>
      <c r="D13" s="752">
        <v>0</v>
      </c>
    </row>
    <row r="14" spans="1:4" x14ac:dyDescent="0.2">
      <c r="A14" s="756"/>
      <c r="B14" s="757"/>
      <c r="C14" s="758"/>
      <c r="D14" s="759"/>
    </row>
    <row r="15" spans="1:4" s="8" customFormat="1" ht="24" x14ac:dyDescent="0.3">
      <c r="A15" s="845" t="s">
        <v>276</v>
      </c>
      <c r="B15" s="846"/>
      <c r="C15" s="846"/>
      <c r="D15" s="847"/>
    </row>
    <row r="16" spans="1:4" s="8" customFormat="1" x14ac:dyDescent="0.2">
      <c r="A16" s="755" t="s">
        <v>273</v>
      </c>
      <c r="B16" s="17"/>
      <c r="C16" s="9"/>
      <c r="D16" s="760">
        <v>49620.02</v>
      </c>
    </row>
    <row r="17" spans="1:4" x14ac:dyDescent="0.2">
      <c r="A17" s="739" t="s">
        <v>274</v>
      </c>
      <c r="B17" s="9"/>
      <c r="C17" s="9"/>
      <c r="D17" s="752">
        <f>'Income and expenditure '!$E$100</f>
        <v>29114.900000000005</v>
      </c>
    </row>
    <row r="18" spans="1:4" x14ac:dyDescent="0.2">
      <c r="A18" s="739" t="s">
        <v>275</v>
      </c>
      <c r="B18" s="9"/>
      <c r="C18" s="9"/>
      <c r="D18" s="752">
        <f>D6+D8</f>
        <v>13482.98</v>
      </c>
    </row>
    <row r="19" spans="1:4" x14ac:dyDescent="0.2">
      <c r="A19" s="739" t="s">
        <v>110</v>
      </c>
      <c r="B19" s="9"/>
      <c r="C19" s="9"/>
      <c r="D19" s="752">
        <f>D16+D17-D18</f>
        <v>65251.94</v>
      </c>
    </row>
    <row r="20" spans="1:4" x14ac:dyDescent="0.2">
      <c r="A20" s="739"/>
      <c r="B20" s="9"/>
      <c r="C20" s="9"/>
      <c r="D20" s="752"/>
    </row>
    <row r="21" spans="1:4" x14ac:dyDescent="0.2">
      <c r="A21" s="739" t="s">
        <v>268</v>
      </c>
      <c r="B21" s="9"/>
      <c r="C21" s="9"/>
      <c r="D21" s="752"/>
    </row>
    <row r="22" spans="1:4" x14ac:dyDescent="0.2">
      <c r="A22" s="739" t="s">
        <v>269</v>
      </c>
      <c r="B22" s="9"/>
      <c r="C22" s="9"/>
      <c r="D22" s="752">
        <v>57737.279999999999</v>
      </c>
    </row>
    <row r="23" spans="1:4" x14ac:dyDescent="0.2">
      <c r="A23" s="739" t="s">
        <v>270</v>
      </c>
      <c r="B23" s="9"/>
      <c r="C23" s="9"/>
      <c r="D23" s="752">
        <v>11997.28</v>
      </c>
    </row>
    <row r="24" spans="1:4" x14ac:dyDescent="0.2">
      <c r="A24" s="761"/>
      <c r="B24" s="4"/>
      <c r="C24" s="4"/>
      <c r="D24" s="762"/>
    </row>
    <row r="25" spans="1:4" x14ac:dyDescent="0.2">
      <c r="A25" s="761" t="s">
        <v>278</v>
      </c>
      <c r="B25" s="4"/>
      <c r="C25" s="672" t="s">
        <v>271</v>
      </c>
      <c r="D25" s="763">
        <v>3653.86</v>
      </c>
    </row>
    <row r="26" spans="1:4" x14ac:dyDescent="0.2">
      <c r="A26" s="761"/>
      <c r="B26" s="4"/>
      <c r="C26" s="672" t="s">
        <v>272</v>
      </c>
      <c r="D26" s="764">
        <f>240</f>
        <v>240</v>
      </c>
    </row>
    <row r="27" spans="1:4" x14ac:dyDescent="0.2">
      <c r="A27" s="761"/>
      <c r="B27" s="432">
        <v>44256</v>
      </c>
      <c r="C27" s="672" t="s">
        <v>173</v>
      </c>
      <c r="D27" s="754">
        <v>325</v>
      </c>
    </row>
    <row r="28" spans="1:4" x14ac:dyDescent="0.2">
      <c r="A28" s="761"/>
      <c r="B28" s="4"/>
      <c r="C28" s="672" t="s">
        <v>210</v>
      </c>
      <c r="D28" s="764">
        <v>36</v>
      </c>
    </row>
    <row r="29" spans="1:4" x14ac:dyDescent="0.2">
      <c r="A29" s="761"/>
      <c r="B29" s="4"/>
      <c r="C29" s="672" t="s">
        <v>210</v>
      </c>
      <c r="D29" s="764">
        <v>60</v>
      </c>
    </row>
    <row r="30" spans="1:4" x14ac:dyDescent="0.2">
      <c r="A30" s="761"/>
      <c r="B30" s="4"/>
      <c r="C30" s="672" t="s">
        <v>210</v>
      </c>
      <c r="D30" s="764">
        <v>90</v>
      </c>
    </row>
    <row r="31" spans="1:4" x14ac:dyDescent="0.2">
      <c r="A31" s="761"/>
      <c r="B31" s="4"/>
      <c r="C31" s="9" t="s">
        <v>277</v>
      </c>
      <c r="D31" s="760">
        <v>62.5</v>
      </c>
    </row>
    <row r="32" spans="1:4" x14ac:dyDescent="0.2">
      <c r="A32" s="761"/>
      <c r="B32" s="4"/>
      <c r="C32" s="9"/>
      <c r="D32" s="752"/>
    </row>
    <row r="33" spans="1:4" x14ac:dyDescent="0.2">
      <c r="A33" s="761"/>
      <c r="B33" s="4"/>
      <c r="C33" s="9"/>
      <c r="D33" s="752">
        <f>(D22+D23)-SUM(D25:D31)</f>
        <v>65267.199999999997</v>
      </c>
    </row>
    <row r="34" spans="1:4" x14ac:dyDescent="0.2">
      <c r="A34" s="761"/>
      <c r="B34" s="4"/>
      <c r="C34" s="9"/>
      <c r="D34" s="752"/>
    </row>
    <row r="35" spans="1:4" ht="17" thickBot="1" x14ac:dyDescent="0.25">
      <c r="A35" s="765"/>
      <c r="B35" s="766"/>
      <c r="C35" s="767" t="s">
        <v>303</v>
      </c>
      <c r="D35" s="768">
        <f>D19-D33</f>
        <v>-15.259999999994761</v>
      </c>
    </row>
  </sheetData>
  <mergeCells count="2">
    <mergeCell ref="A15:D15"/>
    <mergeCell ref="A1:D1"/>
  </mergeCells>
  <pageMargins left="0.7" right="0.7" top="0.75" bottom="0.75" header="0.3" footer="0.3"/>
  <pageSetup paperSize="9" scale="83" orientation="portrait" horizontalDpi="0" verticalDpi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5F0D-5AB9-984A-931E-F5A0BC7CC612}">
  <sheetPr>
    <pageSetUpPr fitToPage="1"/>
  </sheetPr>
  <dimension ref="A1:I40"/>
  <sheetViews>
    <sheetView tabSelected="1" topLeftCell="A5" workbookViewId="0">
      <selection activeCell="A39" sqref="A39"/>
    </sheetView>
  </sheetViews>
  <sheetFormatPr baseColWidth="10" defaultRowHeight="16" x14ac:dyDescent="0.2"/>
  <cols>
    <col min="5" max="5" width="19.6640625" customWidth="1"/>
  </cols>
  <sheetData>
    <row r="1" spans="1:9" ht="18" x14ac:dyDescent="0.2">
      <c r="A1" s="769" t="s">
        <v>285</v>
      </c>
      <c r="B1" s="770"/>
      <c r="C1" s="770"/>
      <c r="D1" s="770"/>
      <c r="E1" s="770"/>
      <c r="F1" s="771"/>
      <c r="G1" s="771"/>
      <c r="H1" s="770"/>
      <c r="I1" s="772"/>
    </row>
    <row r="2" spans="1:9" x14ac:dyDescent="0.2">
      <c r="A2" s="851" t="s">
        <v>297</v>
      </c>
      <c r="B2" s="852"/>
      <c r="C2" s="852"/>
      <c r="D2" s="852"/>
      <c r="E2" s="852"/>
      <c r="F2" s="852"/>
      <c r="G2" s="852"/>
      <c r="H2" s="852"/>
      <c r="I2" s="853"/>
    </row>
    <row r="3" spans="1:9" x14ac:dyDescent="0.2">
      <c r="A3" s="851"/>
      <c r="B3" s="852"/>
      <c r="C3" s="852"/>
      <c r="D3" s="852"/>
      <c r="E3" s="852"/>
      <c r="F3" s="852"/>
      <c r="G3" s="852"/>
      <c r="H3" s="852"/>
      <c r="I3" s="853"/>
    </row>
    <row r="4" spans="1:9" x14ac:dyDescent="0.2">
      <c r="A4" s="773"/>
      <c r="B4" s="774"/>
      <c r="C4" s="774"/>
      <c r="D4" s="774"/>
      <c r="E4" s="774"/>
      <c r="F4" s="774"/>
      <c r="G4" s="774"/>
      <c r="H4" s="774"/>
      <c r="I4" s="775"/>
    </row>
    <row r="5" spans="1:9" x14ac:dyDescent="0.2">
      <c r="A5" s="776" t="s">
        <v>286</v>
      </c>
      <c r="B5" s="854" t="s">
        <v>287</v>
      </c>
      <c r="C5" s="854"/>
      <c r="D5" s="854"/>
      <c r="E5" s="854"/>
      <c r="F5" s="447"/>
      <c r="G5" s="448"/>
      <c r="H5" s="777"/>
      <c r="I5" s="778"/>
    </row>
    <row r="6" spans="1:9" x14ac:dyDescent="0.2">
      <c r="A6" s="776"/>
      <c r="B6" s="777"/>
      <c r="C6" s="777"/>
      <c r="D6" s="777"/>
      <c r="E6" s="777"/>
      <c r="F6" s="450"/>
      <c r="G6" s="450"/>
      <c r="H6" s="777"/>
      <c r="I6" s="778"/>
    </row>
    <row r="7" spans="1:9" x14ac:dyDescent="0.2">
      <c r="A7" s="776" t="s">
        <v>288</v>
      </c>
      <c r="B7" s="777"/>
      <c r="C7" s="777"/>
      <c r="D7" s="854" t="s">
        <v>289</v>
      </c>
      <c r="E7" s="854"/>
      <c r="F7" s="447"/>
      <c r="G7" s="448"/>
      <c r="H7" s="777"/>
      <c r="I7" s="778"/>
    </row>
    <row r="8" spans="1:9" x14ac:dyDescent="0.2">
      <c r="A8" s="776"/>
      <c r="B8" s="777"/>
      <c r="C8" s="777"/>
      <c r="D8" s="777"/>
      <c r="E8" s="777"/>
      <c r="F8" s="450"/>
      <c r="G8" s="450"/>
      <c r="H8" s="777"/>
      <c r="I8" s="778"/>
    </row>
    <row r="9" spans="1:9" x14ac:dyDescent="0.2">
      <c r="A9" s="779" t="s">
        <v>298</v>
      </c>
      <c r="B9" s="780"/>
      <c r="C9" s="780"/>
      <c r="D9" s="780"/>
      <c r="E9" s="777"/>
      <c r="F9" s="450"/>
      <c r="G9" s="450"/>
      <c r="H9" s="777"/>
      <c r="I9" s="778"/>
    </row>
    <row r="10" spans="1:9" x14ac:dyDescent="0.2">
      <c r="A10" s="776"/>
      <c r="B10" s="777"/>
      <c r="C10" s="777"/>
      <c r="D10" s="777"/>
      <c r="E10" s="777"/>
      <c r="F10" s="450"/>
      <c r="G10" s="450"/>
      <c r="H10" s="777"/>
      <c r="I10" s="778"/>
    </row>
    <row r="11" spans="1:9" x14ac:dyDescent="0.2">
      <c r="A11" s="776" t="s">
        <v>290</v>
      </c>
      <c r="B11" s="855" t="s">
        <v>291</v>
      </c>
      <c r="C11" s="856"/>
      <c r="D11" s="856"/>
      <c r="E11" s="856"/>
      <c r="F11" s="856"/>
      <c r="G11" s="857"/>
      <c r="H11" s="777"/>
      <c r="I11" s="778"/>
    </row>
    <row r="12" spans="1:9" x14ac:dyDescent="0.2">
      <c r="A12" s="776"/>
      <c r="B12" s="777"/>
      <c r="C12" s="777"/>
      <c r="D12" s="777"/>
      <c r="E12" s="777"/>
      <c r="F12" s="450"/>
      <c r="G12" s="450"/>
      <c r="H12" s="777"/>
      <c r="I12" s="778"/>
    </row>
    <row r="13" spans="1:9" x14ac:dyDescent="0.2">
      <c r="A13" s="776" t="s">
        <v>292</v>
      </c>
      <c r="B13" s="781">
        <v>44320</v>
      </c>
      <c r="C13" s="777"/>
      <c r="D13" s="777"/>
      <c r="E13" s="777"/>
      <c r="F13" s="450"/>
      <c r="G13" s="450"/>
      <c r="H13" s="777"/>
      <c r="I13" s="778"/>
    </row>
    <row r="14" spans="1:9" x14ac:dyDescent="0.2">
      <c r="A14" s="776"/>
      <c r="B14" s="777"/>
      <c r="C14" s="777"/>
      <c r="D14" s="777"/>
      <c r="E14" s="777"/>
      <c r="F14" s="450"/>
      <c r="G14" s="450"/>
      <c r="H14" s="777"/>
      <c r="I14" s="778"/>
    </row>
    <row r="15" spans="1:9" x14ac:dyDescent="0.2">
      <c r="A15" s="776"/>
      <c r="B15" s="777"/>
      <c r="C15" s="777"/>
      <c r="D15" s="777"/>
      <c r="E15" s="777"/>
      <c r="F15" s="787" t="s">
        <v>293</v>
      </c>
      <c r="G15" s="787" t="s">
        <v>293</v>
      </c>
      <c r="H15" s="777"/>
      <c r="I15" s="778"/>
    </row>
    <row r="16" spans="1:9" x14ac:dyDescent="0.2">
      <c r="A16" s="779" t="s">
        <v>301</v>
      </c>
      <c r="B16" s="780"/>
      <c r="C16" s="780"/>
      <c r="D16" s="780"/>
      <c r="E16" s="780"/>
      <c r="F16" s="788"/>
      <c r="G16" s="788"/>
      <c r="H16" s="780"/>
      <c r="I16" s="783"/>
    </row>
    <row r="17" spans="1:9" x14ac:dyDescent="0.2">
      <c r="A17" s="776"/>
      <c r="B17" s="777" t="s">
        <v>294</v>
      </c>
      <c r="C17" s="777"/>
      <c r="D17" s="777"/>
      <c r="E17" s="777"/>
      <c r="F17" s="789">
        <f>'AGAR Form copy'!$D$22</f>
        <v>57737.279999999999</v>
      </c>
      <c r="G17" s="790"/>
      <c r="H17" s="777"/>
      <c r="I17" s="783"/>
    </row>
    <row r="18" spans="1:9" x14ac:dyDescent="0.2">
      <c r="A18" s="776"/>
      <c r="B18" s="777" t="s">
        <v>295</v>
      </c>
      <c r="C18" s="777"/>
      <c r="D18" s="777"/>
      <c r="E18" s="777"/>
      <c r="F18" s="407">
        <f>'AGAR Form copy'!$D$23</f>
        <v>11997.28</v>
      </c>
      <c r="G18" s="790"/>
      <c r="H18" s="777"/>
      <c r="I18" s="778"/>
    </row>
    <row r="19" spans="1:9" x14ac:dyDescent="0.2">
      <c r="A19" s="776"/>
      <c r="B19" s="784"/>
      <c r="C19" s="777"/>
      <c r="D19" s="777"/>
      <c r="E19" s="777"/>
      <c r="F19" s="791"/>
      <c r="G19" s="787"/>
      <c r="H19" s="777"/>
      <c r="I19" s="778"/>
    </row>
    <row r="20" spans="1:9" x14ac:dyDescent="0.2">
      <c r="A20" s="776"/>
      <c r="B20" s="777"/>
      <c r="C20" s="777"/>
      <c r="D20" s="777"/>
      <c r="E20" s="777"/>
      <c r="F20" s="787"/>
      <c r="G20" s="792">
        <f>SUM(F17:F19)</f>
        <v>69734.559999999998</v>
      </c>
      <c r="H20" s="777"/>
      <c r="I20" s="778"/>
    </row>
    <row r="21" spans="1:9" x14ac:dyDescent="0.2">
      <c r="A21" s="776"/>
      <c r="B21" s="777"/>
      <c r="C21" s="777"/>
      <c r="D21" s="777"/>
      <c r="E21" s="777"/>
      <c r="F21" s="787"/>
      <c r="G21" s="792"/>
      <c r="H21" s="777"/>
      <c r="I21" s="778"/>
    </row>
    <row r="22" spans="1:9" x14ac:dyDescent="0.2">
      <c r="A22" s="776" t="s">
        <v>296</v>
      </c>
      <c r="B22" s="777"/>
      <c r="C22" s="777"/>
      <c r="D22" s="777"/>
      <c r="E22" s="777"/>
      <c r="F22" s="450"/>
      <c r="G22" s="452">
        <v>0</v>
      </c>
      <c r="H22" s="777"/>
      <c r="I22" s="778"/>
    </row>
    <row r="23" spans="1:9" x14ac:dyDescent="0.2">
      <c r="A23" s="776"/>
      <c r="B23" s="777"/>
      <c r="C23" s="777"/>
      <c r="D23" s="777"/>
      <c r="E23" s="777"/>
      <c r="F23" s="450"/>
      <c r="G23" s="452"/>
      <c r="H23" s="777"/>
      <c r="I23" s="778"/>
    </row>
    <row r="24" spans="1:9" x14ac:dyDescent="0.2">
      <c r="A24" s="776" t="s">
        <v>299</v>
      </c>
      <c r="B24" s="777"/>
      <c r="C24" s="777"/>
      <c r="D24" s="777"/>
      <c r="E24" s="777"/>
      <c r="F24" s="785"/>
      <c r="G24" s="452"/>
      <c r="H24" s="777"/>
      <c r="I24" s="778"/>
    </row>
    <row r="25" spans="1:9" x14ac:dyDescent="0.2">
      <c r="A25" s="776"/>
      <c r="B25" s="777"/>
      <c r="C25" s="777"/>
      <c r="D25" s="777"/>
      <c r="E25" s="408" t="s">
        <v>271</v>
      </c>
      <c r="F25" s="409">
        <v>-3653.86</v>
      </c>
      <c r="G25" s="792"/>
      <c r="H25" s="777"/>
      <c r="I25" s="778"/>
    </row>
    <row r="26" spans="1:9" x14ac:dyDescent="0.2">
      <c r="A26" s="776"/>
      <c r="B26" s="777"/>
      <c r="C26" s="777"/>
      <c r="D26" s="777"/>
      <c r="E26" s="408" t="s">
        <v>272</v>
      </c>
      <c r="F26" s="410">
        <f>-240</f>
        <v>-240</v>
      </c>
      <c r="G26" s="792"/>
      <c r="H26" s="777"/>
      <c r="I26" s="778"/>
    </row>
    <row r="27" spans="1:9" x14ac:dyDescent="0.2">
      <c r="A27" s="776"/>
      <c r="B27" s="777"/>
      <c r="C27" s="777"/>
      <c r="D27" s="777"/>
      <c r="E27" s="408" t="s">
        <v>173</v>
      </c>
      <c r="F27" s="411">
        <v>-325</v>
      </c>
      <c r="G27" s="792"/>
      <c r="H27" s="777"/>
      <c r="I27" s="778"/>
    </row>
    <row r="28" spans="1:9" x14ac:dyDescent="0.2">
      <c r="A28" s="776"/>
      <c r="B28" s="777"/>
      <c r="C28" s="777"/>
      <c r="D28" s="777"/>
      <c r="E28" s="408" t="s">
        <v>10</v>
      </c>
      <c r="F28" s="312">
        <v>-36</v>
      </c>
      <c r="G28" s="792"/>
      <c r="H28" s="777"/>
      <c r="I28" s="778"/>
    </row>
    <row r="29" spans="1:9" x14ac:dyDescent="0.2">
      <c r="A29" s="776"/>
      <c r="B29" s="777"/>
      <c r="C29" s="777"/>
      <c r="D29" s="777"/>
      <c r="E29" s="408" t="s">
        <v>10</v>
      </c>
      <c r="F29" s="312">
        <v>-60</v>
      </c>
      <c r="G29" s="792"/>
      <c r="H29" s="777"/>
      <c r="I29" s="778"/>
    </row>
    <row r="30" spans="1:9" x14ac:dyDescent="0.2">
      <c r="A30" s="786"/>
      <c r="B30" s="777"/>
      <c r="C30" s="777"/>
      <c r="D30" s="777"/>
      <c r="E30" s="408" t="s">
        <v>10</v>
      </c>
      <c r="F30" s="312">
        <v>-90</v>
      </c>
      <c r="G30" s="792"/>
      <c r="H30" s="777"/>
      <c r="I30" s="778"/>
    </row>
    <row r="31" spans="1:9" x14ac:dyDescent="0.2">
      <c r="A31" s="776"/>
      <c r="B31" s="777"/>
      <c r="C31" s="777"/>
      <c r="D31" s="777"/>
      <c r="E31" s="4" t="s">
        <v>302</v>
      </c>
      <c r="F31" s="7">
        <v>-62.5</v>
      </c>
      <c r="G31" s="4"/>
      <c r="H31" s="777"/>
      <c r="I31" s="778"/>
    </row>
    <row r="32" spans="1:9" x14ac:dyDescent="0.2">
      <c r="A32" s="776"/>
      <c r="B32" s="777"/>
      <c r="C32" s="777"/>
      <c r="D32" s="777"/>
      <c r="E32" s="790"/>
      <c r="F32" s="7"/>
      <c r="G32" s="792">
        <f>SUM(F25:F31)</f>
        <v>-4467.3600000000006</v>
      </c>
      <c r="H32" s="777"/>
      <c r="I32" s="778"/>
    </row>
    <row r="33" spans="1:9" x14ac:dyDescent="0.2">
      <c r="A33" s="776" t="s">
        <v>300</v>
      </c>
      <c r="B33" s="777"/>
      <c r="C33" s="777"/>
      <c r="D33" s="777"/>
      <c r="E33" s="777"/>
      <c r="F33" s="450"/>
      <c r="G33" s="452"/>
      <c r="H33" s="777"/>
      <c r="I33" s="778"/>
    </row>
    <row r="34" spans="1:9" x14ac:dyDescent="0.2">
      <c r="A34" s="776"/>
      <c r="B34" s="784"/>
      <c r="C34" s="777"/>
      <c r="D34" s="777"/>
      <c r="E34" s="777"/>
      <c r="F34" s="449"/>
      <c r="G34" s="452">
        <f>-F35</f>
        <v>0</v>
      </c>
      <c r="H34" s="777"/>
      <c r="I34" s="778"/>
    </row>
    <row r="35" spans="1:9" x14ac:dyDescent="0.2">
      <c r="A35" s="776"/>
      <c r="B35" s="784"/>
      <c r="C35" s="777"/>
      <c r="D35" s="777"/>
      <c r="E35" s="777"/>
      <c r="F35" s="449"/>
      <c r="G35" s="452"/>
      <c r="H35" s="777"/>
      <c r="I35" s="778"/>
    </row>
    <row r="36" spans="1:9" x14ac:dyDescent="0.2">
      <c r="A36" s="776"/>
      <c r="B36" s="784"/>
      <c r="C36" s="777"/>
      <c r="D36" s="777"/>
      <c r="E36" s="777"/>
      <c r="F36" s="449"/>
      <c r="G36" s="452"/>
      <c r="H36" s="777"/>
      <c r="I36" s="778"/>
    </row>
    <row r="37" spans="1:9" x14ac:dyDescent="0.2">
      <c r="A37" s="776"/>
      <c r="B37" s="777"/>
      <c r="C37" s="777"/>
      <c r="D37" s="777"/>
      <c r="E37" s="777"/>
      <c r="F37" s="451"/>
      <c r="G37" s="453">
        <f>SUM(F34:F36)</f>
        <v>0</v>
      </c>
      <c r="H37" s="777"/>
      <c r="I37" s="778"/>
    </row>
    <row r="38" spans="1:9" x14ac:dyDescent="0.2">
      <c r="A38" s="776"/>
      <c r="B38" s="777"/>
      <c r="C38" s="777"/>
      <c r="D38" s="777"/>
      <c r="E38" s="777"/>
      <c r="F38" s="450"/>
      <c r="G38" s="452"/>
      <c r="H38" s="777"/>
      <c r="I38" s="778"/>
    </row>
    <row r="39" spans="1:9" ht="17" thickBot="1" x14ac:dyDescent="0.25">
      <c r="A39" s="779" t="s">
        <v>362</v>
      </c>
      <c r="B39" s="780"/>
      <c r="C39" s="780"/>
      <c r="D39" s="780"/>
      <c r="E39" s="780"/>
      <c r="F39" s="782"/>
      <c r="G39" s="454">
        <f>G20+G22+G32+G37</f>
        <v>65267.199999999997</v>
      </c>
      <c r="H39" s="780"/>
      <c r="I39" s="778"/>
    </row>
    <row r="40" spans="1:9" ht="18" thickTop="1" thickBot="1" x14ac:dyDescent="0.25">
      <c r="A40" s="747"/>
      <c r="B40" s="748"/>
      <c r="C40" s="748"/>
      <c r="D40" s="748"/>
      <c r="E40" s="748"/>
      <c r="F40" s="748"/>
      <c r="G40" s="748"/>
      <c r="H40" s="748"/>
      <c r="I40" s="749"/>
    </row>
  </sheetData>
  <mergeCells count="4">
    <mergeCell ref="A2:I3"/>
    <mergeCell ref="B5:E5"/>
    <mergeCell ref="D7:E7"/>
    <mergeCell ref="B11:G11"/>
  </mergeCells>
  <pageMargins left="0.7" right="0.7" top="0.75" bottom="0.75" header="0.3" footer="0.3"/>
  <pageSetup paperSize="9" scale="77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EE4F4-72E7-8F48-87A5-52D172C34BEA}">
  <sheetPr>
    <pageSetUpPr fitToPage="1"/>
  </sheetPr>
  <dimension ref="A1:E62"/>
  <sheetViews>
    <sheetView workbookViewId="0">
      <pane ySplit="2200" activePane="bottomLeft"/>
      <selection sqref="A1:E1"/>
      <selection pane="bottomLeft" activeCell="I46" sqref="I46"/>
    </sheetView>
  </sheetViews>
  <sheetFormatPr baseColWidth="10" defaultRowHeight="16" x14ac:dyDescent="0.2"/>
  <cols>
    <col min="1" max="1" width="32.6640625" customWidth="1"/>
    <col min="2" max="2" width="18.33203125" style="440" customWidth="1"/>
    <col min="3" max="3" width="15.33203125" customWidth="1"/>
    <col min="4" max="4" width="16" customWidth="1"/>
    <col min="5" max="5" width="16.33203125" customWidth="1"/>
  </cols>
  <sheetData>
    <row r="1" spans="1:5" ht="72" customHeight="1" x14ac:dyDescent="0.3">
      <c r="A1" s="858" t="s">
        <v>359</v>
      </c>
      <c r="B1" s="858"/>
      <c r="C1" s="858"/>
      <c r="D1" s="858"/>
      <c r="E1" s="858"/>
    </row>
    <row r="2" spans="1:5" s="7" customFormat="1" ht="54" customHeight="1" x14ac:dyDescent="0.2">
      <c r="A2" s="446" t="s">
        <v>0</v>
      </c>
      <c r="B2" s="446" t="s">
        <v>5</v>
      </c>
      <c r="C2" s="446" t="s">
        <v>3</v>
      </c>
      <c r="D2" s="446" t="s">
        <v>4</v>
      </c>
      <c r="E2" s="446" t="s">
        <v>338</v>
      </c>
    </row>
    <row r="3" spans="1:5" s="442" customFormat="1" ht="24" customHeight="1" x14ac:dyDescent="0.25">
      <c r="A3" s="32" t="s">
        <v>283</v>
      </c>
      <c r="B3" s="439">
        <v>348795932</v>
      </c>
      <c r="C3" s="32">
        <v>95.92</v>
      </c>
      <c r="D3" s="117">
        <f>E3-C3</f>
        <v>19.179999999999993</v>
      </c>
      <c r="E3" s="117">
        <f>95.92+19.18</f>
        <v>115.1</v>
      </c>
    </row>
    <row r="4" spans="1:5" s="442" customFormat="1" ht="21" x14ac:dyDescent="0.25">
      <c r="A4" s="32" t="s">
        <v>120</v>
      </c>
      <c r="B4" s="439">
        <v>833867887</v>
      </c>
      <c r="C4" s="32">
        <v>260</v>
      </c>
      <c r="D4" s="32">
        <v>52</v>
      </c>
      <c r="E4" s="117">
        <v>312</v>
      </c>
    </row>
    <row r="5" spans="1:5" s="8" customFormat="1" x14ac:dyDescent="0.2">
      <c r="A5" s="32" t="s">
        <v>281</v>
      </c>
      <c r="B5" s="439">
        <v>727255821</v>
      </c>
      <c r="C5" s="32">
        <v>46.85</v>
      </c>
      <c r="D5" s="32">
        <v>9.4</v>
      </c>
      <c r="E5" s="32">
        <v>56.25</v>
      </c>
    </row>
    <row r="6" spans="1:5" s="8" customFormat="1" x14ac:dyDescent="0.2">
      <c r="A6" s="32" t="s">
        <v>139</v>
      </c>
      <c r="B6" s="439">
        <v>427992215</v>
      </c>
      <c r="C6" s="32">
        <v>68</v>
      </c>
      <c r="D6" s="32">
        <v>13.6</v>
      </c>
      <c r="E6" s="32">
        <v>81.599999999999994</v>
      </c>
    </row>
    <row r="7" spans="1:5" s="8" customFormat="1" x14ac:dyDescent="0.2">
      <c r="A7" s="32" t="s">
        <v>143</v>
      </c>
      <c r="B7" s="439">
        <v>159058487</v>
      </c>
      <c r="C7" s="32">
        <v>50</v>
      </c>
      <c r="D7" s="32">
        <v>10</v>
      </c>
      <c r="E7" s="32">
        <v>60</v>
      </c>
    </row>
    <row r="8" spans="1:5" s="8" customFormat="1" x14ac:dyDescent="0.2">
      <c r="A8" s="32" t="s">
        <v>84</v>
      </c>
      <c r="B8" s="439">
        <v>740872036</v>
      </c>
      <c r="C8" s="390">
        <v>50</v>
      </c>
      <c r="D8" s="32">
        <v>10</v>
      </c>
      <c r="E8" s="117">
        <v>60</v>
      </c>
    </row>
    <row r="9" spans="1:5" s="8" customFormat="1" x14ac:dyDescent="0.2">
      <c r="A9" s="32" t="s">
        <v>84</v>
      </c>
      <c r="B9" s="439">
        <v>740872036</v>
      </c>
      <c r="C9" s="32">
        <v>146.34</v>
      </c>
      <c r="D9" s="32">
        <v>29.27</v>
      </c>
      <c r="E9" s="32">
        <v>175.61</v>
      </c>
    </row>
    <row r="10" spans="1:5" s="8" customFormat="1" x14ac:dyDescent="0.2">
      <c r="A10" s="32" t="s">
        <v>91</v>
      </c>
      <c r="B10" s="439">
        <v>296312096</v>
      </c>
      <c r="C10" s="32">
        <v>50</v>
      </c>
      <c r="D10" s="32">
        <v>10</v>
      </c>
      <c r="E10" s="117">
        <v>60</v>
      </c>
    </row>
    <row r="11" spans="1:5" s="8" customFormat="1" x14ac:dyDescent="0.2">
      <c r="A11" s="32" t="s">
        <v>91</v>
      </c>
      <c r="B11" s="443">
        <v>296312096</v>
      </c>
      <c r="C11" s="32">
        <v>50</v>
      </c>
      <c r="D11" s="32">
        <v>10</v>
      </c>
      <c r="E11" s="117">
        <v>60</v>
      </c>
    </row>
    <row r="12" spans="1:5" s="8" customFormat="1" x14ac:dyDescent="0.2">
      <c r="A12" s="32" t="s">
        <v>115</v>
      </c>
      <c r="B12" s="439">
        <v>155847044</v>
      </c>
      <c r="C12" s="32">
        <v>294.77</v>
      </c>
      <c r="D12" s="32">
        <v>58.95</v>
      </c>
      <c r="E12" s="117">
        <v>353.72</v>
      </c>
    </row>
    <row r="13" spans="1:5" s="8" customFormat="1" x14ac:dyDescent="0.2">
      <c r="A13" s="32" t="s">
        <v>282</v>
      </c>
      <c r="B13" s="439">
        <v>232555575</v>
      </c>
      <c r="C13" s="32">
        <v>12.9</v>
      </c>
      <c r="D13" s="32">
        <v>2.56</v>
      </c>
      <c r="E13" s="32">
        <v>15.46</v>
      </c>
    </row>
    <row r="14" spans="1:5" s="8" customFormat="1" x14ac:dyDescent="0.2">
      <c r="A14" s="32" t="s">
        <v>192</v>
      </c>
      <c r="B14" s="439">
        <v>977255181</v>
      </c>
      <c r="C14" s="32">
        <v>145</v>
      </c>
      <c r="D14" s="32">
        <v>29</v>
      </c>
      <c r="E14" s="117">
        <v>174</v>
      </c>
    </row>
    <row r="15" spans="1:5" s="8" customFormat="1" x14ac:dyDescent="0.2">
      <c r="A15" s="32" t="s">
        <v>284</v>
      </c>
      <c r="B15" s="439">
        <v>977255181</v>
      </c>
      <c r="C15" s="32">
        <v>118</v>
      </c>
      <c r="D15" s="32">
        <v>23.6</v>
      </c>
      <c r="E15" s="32">
        <v>141.6</v>
      </c>
    </row>
    <row r="16" spans="1:5" s="8" customFormat="1" x14ac:dyDescent="0.2">
      <c r="A16" s="32" t="s">
        <v>284</v>
      </c>
      <c r="B16" s="439">
        <v>977255181</v>
      </c>
      <c r="C16" s="32">
        <v>394</v>
      </c>
      <c r="D16" s="32">
        <v>78.8</v>
      </c>
      <c r="E16" s="117">
        <v>472.8</v>
      </c>
    </row>
    <row r="17" spans="1:5" s="8" customFormat="1" x14ac:dyDescent="0.2">
      <c r="A17" s="32" t="s">
        <v>192</v>
      </c>
      <c r="B17" s="439">
        <v>977255181</v>
      </c>
      <c r="C17" s="32">
        <v>308</v>
      </c>
      <c r="D17" s="32">
        <v>61.6</v>
      </c>
      <c r="E17" s="117">
        <v>369.6</v>
      </c>
    </row>
    <row r="18" spans="1:5" s="8" customFormat="1" x14ac:dyDescent="0.2">
      <c r="A18" s="32" t="s">
        <v>284</v>
      </c>
      <c r="B18" s="439">
        <v>977255181</v>
      </c>
      <c r="C18" s="32">
        <v>552</v>
      </c>
      <c r="D18" s="32">
        <v>110.4</v>
      </c>
      <c r="E18" s="117">
        <v>662.4</v>
      </c>
    </row>
    <row r="19" spans="1:5" s="8" customFormat="1" x14ac:dyDescent="0.2">
      <c r="A19" s="32" t="s">
        <v>284</v>
      </c>
      <c r="B19" s="439">
        <v>977255181</v>
      </c>
      <c r="C19" s="32">
        <f>E19/1.2</f>
        <v>276</v>
      </c>
      <c r="D19" s="117">
        <f>E19-C19</f>
        <v>55.199999999999989</v>
      </c>
      <c r="E19" s="117">
        <v>331.2</v>
      </c>
    </row>
    <row r="20" spans="1:5" s="8" customFormat="1" x14ac:dyDescent="0.2">
      <c r="A20" s="32" t="s">
        <v>284</v>
      </c>
      <c r="B20" s="439">
        <v>977255181</v>
      </c>
      <c r="C20" s="32">
        <v>593</v>
      </c>
      <c r="D20" s="32">
        <v>118.6</v>
      </c>
      <c r="E20" s="32">
        <v>711.6</v>
      </c>
    </row>
    <row r="21" spans="1:5" s="8" customFormat="1" x14ac:dyDescent="0.2">
      <c r="A21" s="32" t="s">
        <v>171</v>
      </c>
      <c r="B21" s="439">
        <v>190355606</v>
      </c>
      <c r="C21" s="32">
        <v>1219.6199999999999</v>
      </c>
      <c r="D21" s="32">
        <v>243.92</v>
      </c>
      <c r="E21" s="117">
        <v>1463.54</v>
      </c>
    </row>
    <row r="22" spans="1:5" s="8" customFormat="1" x14ac:dyDescent="0.2">
      <c r="A22" s="32" t="s">
        <v>171</v>
      </c>
      <c r="B22" s="439">
        <v>190355606</v>
      </c>
      <c r="C22" s="32">
        <v>813.07</v>
      </c>
      <c r="D22" s="32">
        <v>162.61000000000001</v>
      </c>
      <c r="E22" s="117">
        <v>975.68</v>
      </c>
    </row>
    <row r="23" spans="1:5" s="8" customFormat="1" x14ac:dyDescent="0.2">
      <c r="A23" s="32" t="s">
        <v>171</v>
      </c>
      <c r="B23" s="439">
        <v>190355606</v>
      </c>
      <c r="C23" s="32">
        <v>746.71</v>
      </c>
      <c r="D23" s="32">
        <v>149.34</v>
      </c>
      <c r="E23" s="32">
        <v>896.05</v>
      </c>
    </row>
    <row r="24" spans="1:5" s="8" customFormat="1" x14ac:dyDescent="0.2">
      <c r="A24" s="32" t="s">
        <v>171</v>
      </c>
      <c r="B24" s="439">
        <v>190355606</v>
      </c>
      <c r="C24" s="32">
        <v>265.49</v>
      </c>
      <c r="D24" s="32">
        <v>53.1</v>
      </c>
      <c r="E24" s="117">
        <v>318.58999999999997</v>
      </c>
    </row>
    <row r="25" spans="1:5" s="8" customFormat="1" x14ac:dyDescent="0.2">
      <c r="A25" s="32" t="s">
        <v>81</v>
      </c>
      <c r="B25" s="439">
        <v>190355606</v>
      </c>
      <c r="C25" s="117">
        <f>E25/1.2</f>
        <v>120.85833333333333</v>
      </c>
      <c r="D25" s="117">
        <f>E25-C25</f>
        <v>24.171666666666667</v>
      </c>
      <c r="E25" s="117">
        <v>145.03</v>
      </c>
    </row>
    <row r="26" spans="1:5" s="8" customFormat="1" x14ac:dyDescent="0.2">
      <c r="A26" s="32" t="s">
        <v>81</v>
      </c>
      <c r="B26" s="439">
        <v>190355606</v>
      </c>
      <c r="C26" s="32">
        <v>149.34</v>
      </c>
      <c r="D26" s="32">
        <v>29.87</v>
      </c>
      <c r="E26" s="117">
        <v>179.21</v>
      </c>
    </row>
    <row r="27" spans="1:5" s="8" customFormat="1" x14ac:dyDescent="0.2">
      <c r="A27" s="32" t="s">
        <v>81</v>
      </c>
      <c r="B27" s="439">
        <v>190355606</v>
      </c>
      <c r="C27" s="390">
        <f>E27/1.2</f>
        <v>364.20833333333337</v>
      </c>
      <c r="D27" s="117">
        <f>E27-C27</f>
        <v>72.84166666666664</v>
      </c>
      <c r="E27" s="117">
        <v>437.05</v>
      </c>
    </row>
    <row r="28" spans="1:5" s="8" customFormat="1" x14ac:dyDescent="0.2">
      <c r="A28" s="32" t="s">
        <v>81</v>
      </c>
      <c r="B28" s="439">
        <v>190355606</v>
      </c>
      <c r="C28" s="32">
        <v>124.45</v>
      </c>
      <c r="D28" s="32">
        <v>24.89</v>
      </c>
      <c r="E28" s="117">
        <v>149.34</v>
      </c>
    </row>
    <row r="29" spans="1:5" s="8" customFormat="1" x14ac:dyDescent="0.2">
      <c r="A29" s="32" t="s">
        <v>81</v>
      </c>
      <c r="B29" s="439">
        <v>190355606</v>
      </c>
      <c r="C29" s="32">
        <v>174.23</v>
      </c>
      <c r="D29" s="32">
        <v>34.85</v>
      </c>
      <c r="E29" s="117">
        <v>209.08</v>
      </c>
    </row>
    <row r="30" spans="1:5" s="8" customFormat="1" x14ac:dyDescent="0.2">
      <c r="A30" s="32" t="s">
        <v>81</v>
      </c>
      <c r="B30" s="439">
        <v>190355606</v>
      </c>
      <c r="C30" s="117">
        <f>E30/1.2</f>
        <v>497.80833333333334</v>
      </c>
      <c r="D30" s="117">
        <f>E30-C30</f>
        <v>99.561666666666667</v>
      </c>
      <c r="E30" s="117">
        <v>597.37</v>
      </c>
    </row>
    <row r="31" spans="1:5" s="8" customFormat="1" x14ac:dyDescent="0.2">
      <c r="A31" s="32" t="s">
        <v>81</v>
      </c>
      <c r="B31" s="439">
        <v>190355606</v>
      </c>
      <c r="C31" s="117">
        <f>E31/1.2</f>
        <v>398.24166666666667</v>
      </c>
      <c r="D31" s="117">
        <f>E31-C31</f>
        <v>79.648333333333312</v>
      </c>
      <c r="E31" s="117">
        <v>477.89</v>
      </c>
    </row>
    <row r="32" spans="1:5" s="8" customFormat="1" x14ac:dyDescent="0.2">
      <c r="A32" s="32" t="s">
        <v>168</v>
      </c>
      <c r="B32" s="443">
        <v>440498250</v>
      </c>
      <c r="C32" s="32">
        <v>200</v>
      </c>
      <c r="D32" s="32">
        <v>40</v>
      </c>
      <c r="E32" s="117">
        <v>240</v>
      </c>
    </row>
    <row r="33" spans="1:5" s="8" customFormat="1" x14ac:dyDescent="0.2">
      <c r="A33" s="7" t="s">
        <v>151</v>
      </c>
      <c r="B33" s="439">
        <v>87628359</v>
      </c>
      <c r="C33" s="32">
        <v>68.5</v>
      </c>
      <c r="D33" s="32">
        <v>13.7</v>
      </c>
      <c r="E33" s="17">
        <v>82.2</v>
      </c>
    </row>
    <row r="34" spans="1:5" s="8" customFormat="1" x14ac:dyDescent="0.2">
      <c r="A34" s="32" t="s">
        <v>87</v>
      </c>
      <c r="B34" s="439">
        <v>825023265</v>
      </c>
      <c r="C34" s="32">
        <v>40</v>
      </c>
      <c r="D34" s="32">
        <v>8</v>
      </c>
      <c r="E34" s="117">
        <v>48</v>
      </c>
    </row>
    <row r="35" spans="1:5" s="8" customFormat="1" x14ac:dyDescent="0.2">
      <c r="A35" s="32" t="s">
        <v>87</v>
      </c>
      <c r="B35" s="439">
        <v>825023265</v>
      </c>
      <c r="C35" s="32">
        <v>25</v>
      </c>
      <c r="D35" s="32">
        <v>5</v>
      </c>
      <c r="E35" s="117">
        <v>30</v>
      </c>
    </row>
    <row r="36" spans="1:5" s="8" customFormat="1" x14ac:dyDescent="0.2">
      <c r="A36" s="311" t="s">
        <v>87</v>
      </c>
      <c r="B36" s="439">
        <v>825023265</v>
      </c>
      <c r="C36" s="32">
        <v>75</v>
      </c>
      <c r="D36" s="32">
        <v>15</v>
      </c>
      <c r="E36" s="312">
        <v>90</v>
      </c>
    </row>
    <row r="37" spans="1:5" s="8" customFormat="1" x14ac:dyDescent="0.2">
      <c r="A37" s="311" t="s">
        <v>221</v>
      </c>
      <c r="B37" s="439">
        <v>825023265</v>
      </c>
      <c r="C37" s="32">
        <v>30</v>
      </c>
      <c r="D37" s="32">
        <v>6</v>
      </c>
      <c r="E37" s="312">
        <v>36</v>
      </c>
    </row>
    <row r="38" spans="1:5" s="8" customFormat="1" x14ac:dyDescent="0.2">
      <c r="A38" s="311" t="s">
        <v>222</v>
      </c>
      <c r="B38" s="439">
        <v>825023265</v>
      </c>
      <c r="C38" s="32">
        <v>50</v>
      </c>
      <c r="D38" s="32">
        <v>10</v>
      </c>
      <c r="E38" s="312">
        <v>60</v>
      </c>
    </row>
    <row r="39" spans="1:5" s="136" customFormat="1" x14ac:dyDescent="0.2">
      <c r="A39" s="32" t="s">
        <v>116</v>
      </c>
      <c r="B39" s="439">
        <v>170640134</v>
      </c>
      <c r="C39" s="32">
        <v>30.4</v>
      </c>
      <c r="D39" s="32">
        <v>6.08</v>
      </c>
      <c r="E39" s="117">
        <v>36.479999999999997</v>
      </c>
    </row>
    <row r="40" spans="1:5" s="136" customFormat="1" x14ac:dyDescent="0.2">
      <c r="A40" s="32" t="s">
        <v>112</v>
      </c>
      <c r="B40" s="439">
        <v>571331657</v>
      </c>
      <c r="C40" s="32">
        <v>230</v>
      </c>
      <c r="D40" s="32">
        <v>46</v>
      </c>
      <c r="E40" s="117">
        <v>276</v>
      </c>
    </row>
    <row r="41" spans="1:5" s="136" customFormat="1" x14ac:dyDescent="0.2">
      <c r="A41" s="311"/>
      <c r="B41" s="444"/>
      <c r="C41" s="32"/>
      <c r="D41" s="32"/>
      <c r="E41" s="445"/>
    </row>
    <row r="42" spans="1:5" s="8" customFormat="1" ht="17" thickBot="1" x14ac:dyDescent="0.25">
      <c r="A42" s="488"/>
      <c r="B42" s="703"/>
      <c r="C42" s="704">
        <f t="shared" ref="C42:D42" si="0">SUM(C3:C40)</f>
        <v>9133.7066666666651</v>
      </c>
      <c r="D42" s="704">
        <f t="shared" si="0"/>
        <v>1826.7433333333331</v>
      </c>
      <c r="E42" s="704">
        <f>SUM(E3:E40)</f>
        <v>10960.45</v>
      </c>
    </row>
    <row r="43" spans="1:5" ht="50" customHeight="1" thickBot="1" x14ac:dyDescent="0.3">
      <c r="A43" s="706" t="s">
        <v>327</v>
      </c>
      <c r="B43" s="707"/>
      <c r="C43" s="708"/>
      <c r="D43" s="709">
        <f>D42</f>
        <v>1826.7433333333331</v>
      </c>
      <c r="E43" s="705"/>
    </row>
    <row r="44" spans="1:5" x14ac:dyDescent="0.2">
      <c r="C44" s="14"/>
      <c r="D44" s="14"/>
    </row>
    <row r="45" spans="1:5" s="8" customFormat="1" x14ac:dyDescent="0.2">
      <c r="B45" s="441"/>
    </row>
    <row r="46" spans="1:5" s="8" customFormat="1" x14ac:dyDescent="0.2">
      <c r="B46" s="441"/>
    </row>
    <row r="47" spans="1:5" s="8" customFormat="1" x14ac:dyDescent="0.2">
      <c r="B47" s="441"/>
    </row>
    <row r="48" spans="1:5" s="8" customFormat="1" x14ac:dyDescent="0.2">
      <c r="B48" s="441"/>
    </row>
    <row r="49" spans="2:2" s="8" customFormat="1" x14ac:dyDescent="0.2">
      <c r="B49" s="441"/>
    </row>
    <row r="50" spans="2:2" s="8" customFormat="1" x14ac:dyDescent="0.2">
      <c r="B50" s="441"/>
    </row>
    <row r="51" spans="2:2" s="8" customFormat="1" x14ac:dyDescent="0.2">
      <c r="B51" s="441"/>
    </row>
    <row r="52" spans="2:2" s="8" customFormat="1" x14ac:dyDescent="0.2">
      <c r="B52" s="441"/>
    </row>
    <row r="53" spans="2:2" s="8" customFormat="1" x14ac:dyDescent="0.2">
      <c r="B53" s="441"/>
    </row>
    <row r="54" spans="2:2" s="8" customFormat="1" x14ac:dyDescent="0.2">
      <c r="B54" s="441"/>
    </row>
    <row r="55" spans="2:2" s="8" customFormat="1" x14ac:dyDescent="0.2">
      <c r="B55" s="441"/>
    </row>
    <row r="62" spans="2:2" s="12" customFormat="1" x14ac:dyDescent="0.2">
      <c r="B62" s="440"/>
    </row>
  </sheetData>
  <autoFilter ref="E3:E153" xr:uid="{29A66CFB-98DC-BE47-BA62-E7DB2432E1F5}"/>
  <sortState xmlns:xlrd2="http://schemas.microsoft.com/office/spreadsheetml/2017/richdata2" ref="A4:E40">
    <sortCondition ref="A3:A40"/>
  </sortState>
  <mergeCells count="1">
    <mergeCell ref="A1:E1"/>
  </mergeCells>
  <pageMargins left="0.7" right="0.7" top="0.75" bottom="0.75" header="0.3" footer="0.3"/>
  <pageSetup paperSize="9" scale="83" orientation="portrait" horizontalDpi="0" verticalDpi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7A12C-4904-9A4F-A2AB-7331A55F0B9C}">
  <dimension ref="A1:E23"/>
  <sheetViews>
    <sheetView workbookViewId="0">
      <selection activeCell="D12" sqref="D12"/>
    </sheetView>
  </sheetViews>
  <sheetFormatPr baseColWidth="10" defaultRowHeight="16" x14ac:dyDescent="0.2"/>
  <cols>
    <col min="1" max="1" width="22.33203125" customWidth="1"/>
    <col min="2" max="2" width="18" customWidth="1"/>
    <col min="3" max="3" width="15.6640625" customWidth="1"/>
    <col min="4" max="5" width="19.1640625" customWidth="1"/>
  </cols>
  <sheetData>
    <row r="1" spans="1:5" ht="46" customHeight="1" thickBot="1" x14ac:dyDescent="0.3">
      <c r="A1" s="860" t="s">
        <v>345</v>
      </c>
      <c r="B1" s="861"/>
      <c r="C1" s="861"/>
      <c r="D1" s="862"/>
    </row>
    <row r="2" spans="1:5" ht="41" customHeight="1" x14ac:dyDescent="0.25">
      <c r="A2" s="718" t="s">
        <v>339</v>
      </c>
      <c r="B2" s="718" t="s">
        <v>341</v>
      </c>
      <c r="C2" s="718" t="s">
        <v>1</v>
      </c>
      <c r="D2" s="718" t="s">
        <v>342</v>
      </c>
    </row>
    <row r="3" spans="1:5" x14ac:dyDescent="0.2">
      <c r="D3" s="4"/>
    </row>
    <row r="4" spans="1:5" ht="16" customHeight="1" x14ac:dyDescent="0.2">
      <c r="A4" s="414">
        <v>44033</v>
      </c>
      <c r="B4" s="32" t="s">
        <v>112</v>
      </c>
      <c r="C4" s="517" t="s">
        <v>113</v>
      </c>
      <c r="D4" s="117">
        <v>276</v>
      </c>
    </row>
    <row r="5" spans="1:5" x14ac:dyDescent="0.2">
      <c r="A5" s="414">
        <v>44041</v>
      </c>
      <c r="B5" s="32" t="s">
        <v>115</v>
      </c>
      <c r="C5" s="517" t="s">
        <v>113</v>
      </c>
      <c r="D5" s="117">
        <v>353.72</v>
      </c>
    </row>
    <row r="6" spans="1:5" x14ac:dyDescent="0.2">
      <c r="A6" s="414">
        <v>44090</v>
      </c>
      <c r="B6" s="32" t="s">
        <v>147</v>
      </c>
      <c r="C6" s="517" t="s">
        <v>148</v>
      </c>
      <c r="D6" s="32">
        <v>56.25</v>
      </c>
    </row>
    <row r="7" spans="1:5" x14ac:dyDescent="0.2">
      <c r="A7" s="414"/>
      <c r="B7" s="32"/>
      <c r="C7" s="517"/>
      <c r="D7" s="32"/>
    </row>
    <row r="8" spans="1:5" x14ac:dyDescent="0.2">
      <c r="A8" s="863" t="s">
        <v>344</v>
      </c>
      <c r="B8" s="864"/>
      <c r="C8" s="865"/>
      <c r="D8" s="716">
        <f>SUM(D4:D6)</f>
        <v>685.97</v>
      </c>
      <c r="E8" s="137"/>
    </row>
    <row r="9" spans="1:5" x14ac:dyDescent="0.2">
      <c r="A9" s="712"/>
      <c r="B9" s="712"/>
      <c r="C9" s="720"/>
      <c r="D9" s="713"/>
      <c r="E9" s="137"/>
    </row>
    <row r="10" spans="1:5" x14ac:dyDescent="0.2">
      <c r="A10" s="866" t="s">
        <v>343</v>
      </c>
      <c r="B10" s="867"/>
      <c r="C10" s="868"/>
      <c r="D10" s="671">
        <v>27336</v>
      </c>
      <c r="E10" s="136"/>
    </row>
    <row r="11" spans="1:5" x14ac:dyDescent="0.2">
      <c r="A11" s="712"/>
      <c r="B11" s="712"/>
      <c r="C11" s="720"/>
      <c r="D11" s="713"/>
      <c r="E11" s="137"/>
    </row>
    <row r="12" spans="1:5" ht="23" x14ac:dyDescent="0.2">
      <c r="A12" s="717" t="s">
        <v>340</v>
      </c>
      <c r="B12" s="717"/>
      <c r="C12" s="721"/>
      <c r="D12" s="717">
        <f>D10+D8</f>
        <v>28021.97</v>
      </c>
      <c r="E12" s="143"/>
    </row>
    <row r="13" spans="1:5" x14ac:dyDescent="0.2">
      <c r="A13" s="714"/>
      <c r="B13" s="715"/>
      <c r="C13" s="719"/>
      <c r="D13" s="716"/>
      <c r="E13" s="143"/>
    </row>
    <row r="14" spans="1:5" x14ac:dyDescent="0.2">
      <c r="A14" s="7"/>
      <c r="B14" s="7"/>
      <c r="C14" s="722"/>
      <c r="D14" s="7"/>
      <c r="E14" s="136"/>
    </row>
    <row r="15" spans="1:5" x14ac:dyDescent="0.2">
      <c r="A15" s="136"/>
      <c r="B15" s="136"/>
      <c r="C15" s="136"/>
      <c r="D15" s="136"/>
      <c r="E15" s="136"/>
    </row>
    <row r="16" spans="1:5" x14ac:dyDescent="0.2">
      <c r="A16" s="710"/>
      <c r="B16" s="710"/>
      <c r="C16" s="557"/>
      <c r="D16" s="711"/>
      <c r="E16" s="711"/>
    </row>
    <row r="17" spans="1:5" x14ac:dyDescent="0.2">
      <c r="A17" s="565"/>
      <c r="B17" s="565"/>
      <c r="C17" s="137"/>
      <c r="D17" s="565"/>
      <c r="E17" s="137"/>
    </row>
    <row r="18" spans="1:5" x14ac:dyDescent="0.2">
      <c r="A18" s="711"/>
      <c r="B18" s="869"/>
      <c r="C18" s="710"/>
      <c r="D18" s="869"/>
      <c r="E18" s="859"/>
    </row>
    <row r="19" spans="1:5" x14ac:dyDescent="0.2">
      <c r="A19" s="711"/>
      <c r="B19" s="869"/>
      <c r="C19" s="710"/>
      <c r="D19" s="869"/>
      <c r="E19" s="859"/>
    </row>
    <row r="20" spans="1:5" x14ac:dyDescent="0.2">
      <c r="A20" s="136"/>
      <c r="B20" s="136"/>
      <c r="C20" s="136"/>
      <c r="D20" s="136"/>
      <c r="E20" s="136"/>
    </row>
    <row r="21" spans="1:5" x14ac:dyDescent="0.2">
      <c r="A21" s="136"/>
      <c r="B21" s="136"/>
      <c r="C21" s="136"/>
      <c r="D21" s="136"/>
      <c r="E21" s="136"/>
    </row>
    <row r="22" spans="1:5" x14ac:dyDescent="0.2">
      <c r="A22" s="136"/>
      <c r="B22" s="136"/>
      <c r="C22" s="136"/>
      <c r="D22" s="136"/>
      <c r="E22" s="136"/>
    </row>
    <row r="23" spans="1:5" x14ac:dyDescent="0.2">
      <c r="A23" s="136"/>
      <c r="B23" s="136"/>
      <c r="C23" s="136"/>
      <c r="D23" s="136"/>
      <c r="E23" s="136"/>
    </row>
  </sheetData>
  <mergeCells count="6">
    <mergeCell ref="E18:E19"/>
    <mergeCell ref="A1:D1"/>
    <mergeCell ref="A8:C8"/>
    <mergeCell ref="A10:C10"/>
    <mergeCell ref="B18:B19"/>
    <mergeCell ref="D18:D19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Income and expenditure </vt:lpstr>
      <vt:lpstr>Financial Statement 31 3 21</vt:lpstr>
      <vt:lpstr>AGAR explanations 20_21</vt:lpstr>
      <vt:lpstr>AGAR Form copy</vt:lpstr>
      <vt:lpstr>Bank reconciliation </vt:lpstr>
      <vt:lpstr>VAT Refund</vt:lpstr>
      <vt:lpstr>Assets register</vt:lpstr>
      <vt:lpstr>'Financial Statement 31 3 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2021-05-11T14:18:32Z</cp:lastPrinted>
  <dcterms:created xsi:type="dcterms:W3CDTF">2020-04-16T11:40:21Z</dcterms:created>
  <dcterms:modified xsi:type="dcterms:W3CDTF">2021-07-12T10:50:20Z</dcterms:modified>
</cp:coreProperties>
</file>